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39.xml"/>
  <Override ContentType="application/vnd.openxmlformats-officedocument.spreadsheetml.worksheet+xml" PartName="/xl/worksheets/sheet40.xml"/>
  <Override ContentType="application/vnd.openxmlformats-officedocument.spreadsheetml.pivotTable+xml" PartName="/xl/pivotTables/pivotTable1.xml"/>
  <Override ContentType="application/vnd.openxmlformats-officedocument.spreadsheetml.pivotCacheDefinition+xml" PartName="/xl/pivotCache/pivotCacheDefinition1.xml"/>
  <Override ContentType="application/vnd.openxmlformats-officedocument.spreadsheetml.pivotCacheRecords+xml" PartName="/xl/pivotCache/pivotCacheRecords1.xml"/>
  <Override ContentType="application/vnd.openxmlformats-officedocument.drawing+xml" PartName="/xl/drawings/drawing7.xml"/>
  <Override ContentType="application/vnd.openxmlformats-officedocument.drawingml.chart+xml" PartName="/xl/charts/chart1.xml"/>
  <Override ContentType="application/vnd.openxmlformats-officedocument.spreadsheetml.pivotTable+xml" PartName="/xl/pivotTables/pivotTable2.xml"/>
  <Override ContentType="application/vnd.openxmlformats-officedocument.spreadsheetml.pivotCacheDefinition+xml" PartName="/xl/pivotCache/pivotCacheDefinition2.xml"/>
  <Override ContentType="application/vnd.openxmlformats-officedocument.spreadsheetml.pivotCacheRecords+xml" PartName="/xl/pivotCache/pivotCacheRecords2.xml"/>
  <Override ContentType="application/vnd.openxmlformats-officedocument.drawing+xml" PartName="/xl/drawings/drawing9.xml"/>
  <Override ContentType="application/vnd.openxmlformats-officedocument.drawingml.chart+xml" PartName="/xl/charts/chart2.xml"/>
  <Override ContentType="application/vnd.openxmlformats-officedocument.spreadsheetml.pivotTable+xml" PartName="/xl/pivotTables/pivotTable3.xml"/>
  <Override ContentType="application/vnd.openxmlformats-officedocument.spreadsheetml.pivotCacheDefinition+xml" PartName="/xl/pivotCache/pivotCacheDefinition3.xml"/>
  <Override ContentType="application/vnd.openxmlformats-officedocument.spreadsheetml.pivotCacheRecords+xml" PartName="/xl/pivotCache/pivotCacheRecords3.xml"/>
  <Override ContentType="application/vnd.openxmlformats-officedocument.drawing+xml" PartName="/xl/drawings/drawing10.xml"/>
  <Override ContentType="application/vnd.openxmlformats-officedocument.drawingml.chart+xml" PartName="/xl/charts/chart3.xml"/>
  <Override ContentType="application/vnd.openxmlformats-officedocument.spreadsheetml.pivotTable+xml" PartName="/xl/pivotTables/pivotTable4.xml"/>
  <Override ContentType="application/vnd.openxmlformats-officedocument.spreadsheetml.pivotCacheDefinition+xml" PartName="/xl/pivotCache/pivotCacheDefinition4.xml"/>
  <Override ContentType="application/vnd.openxmlformats-officedocument.spreadsheetml.pivotCacheRecords+xml" PartName="/xl/pivotCache/pivotCacheRecords4.xml"/>
  <Override ContentType="application/vnd.openxmlformats-officedocument.drawing+xml" PartName="/xl/drawings/drawing11.xml"/>
  <Override ContentType="application/vnd.openxmlformats-officedocument.drawingml.chart+xml" PartName="/xl/charts/chart4.xml"/>
  <Override ContentType="application/vnd.openxmlformats-officedocument.spreadsheetml.pivotTable+xml" PartName="/xl/pivotTables/pivotTable5.xml"/>
  <Override ContentType="application/vnd.openxmlformats-officedocument.spreadsheetml.pivotCacheDefinition+xml" PartName="/xl/pivotCache/pivotCacheDefinition5.xml"/>
  <Override ContentType="application/vnd.openxmlformats-officedocument.spreadsheetml.pivotCacheRecords+xml" PartName="/xl/pivotCache/pivotCacheRecords5.xml"/>
  <Override ContentType="application/vnd.openxmlformats-officedocument.drawing+xml" PartName="/xl/drawings/drawing12.xml"/>
  <Override ContentType="application/vnd.openxmlformats-officedocument.drawingml.chart+xml" PartName="/xl/charts/chart5.xml"/>
  <Override ContentType="application/vnd.openxmlformats-officedocument.spreadsheetml.pivotTable+xml" PartName="/xl/pivotTables/pivotTable6.xml"/>
  <Override ContentType="application/vnd.openxmlformats-officedocument.spreadsheetml.pivotCacheDefinition+xml" PartName="/xl/pivotCache/pivotCacheDefinition6.xml"/>
  <Override ContentType="application/vnd.openxmlformats-officedocument.spreadsheetml.pivotCacheRecords+xml" PartName="/xl/pivotCache/pivotCacheRecords6.xml"/>
  <Override ContentType="application/vnd.openxmlformats-officedocument.drawing+xml" PartName="/xl/drawings/drawing13.xml"/>
  <Override ContentType="application/vnd.openxmlformats-officedocument.drawingml.chart+xml" PartName="/xl/charts/chart6.xml"/>
  <Override ContentType="application/vnd.openxmlformats-officedocument.spreadsheetml.pivotTable+xml" PartName="/xl/pivotTables/pivotTable7.xml"/>
  <Override ContentType="application/vnd.openxmlformats-officedocument.spreadsheetml.pivotCacheDefinition+xml" PartName="/xl/pivotCache/pivotCacheDefinition7.xml"/>
  <Override ContentType="application/vnd.openxmlformats-officedocument.spreadsheetml.pivotCacheRecords+xml" PartName="/xl/pivotCache/pivotCacheRecords7.xml"/>
  <Override ContentType="application/vnd.openxmlformats-officedocument.spreadsheetml.pivotTable+xml" PartName="/xl/pivotTables/pivotTable8.xml"/>
  <Override ContentType="application/vnd.openxmlformats-officedocument.spreadsheetml.pivotCacheDefinition+xml" PartName="/xl/pivotCache/pivotCacheDefinition8.xml"/>
  <Override ContentType="application/vnd.openxmlformats-officedocument.spreadsheetml.pivotCacheRecords+xml" PartName="/xl/pivotCache/pivotCacheRecords8.xml"/>
  <Override ContentType="application/vnd.openxmlformats-officedocument.spreadsheetml.pivotTable+xml" PartName="/xl/pivotTables/pivotTable9.xml"/>
  <Override ContentType="application/vnd.openxmlformats-officedocument.spreadsheetml.pivotCacheDefinition+xml" PartName="/xl/pivotCache/pivotCacheDefinition9.xml"/>
  <Override ContentType="application/vnd.openxmlformats-officedocument.spreadsheetml.pivotCacheRecords+xml" PartName="/xl/pivotCache/pivotCacheRecords9.xml"/>
  <Override ContentType="application/vnd.openxmlformats-officedocument.spreadsheetml.pivotTable+xml" PartName="/xl/pivotTables/pivotTable10.xml"/>
  <Override ContentType="application/vnd.openxmlformats-officedocument.spreadsheetml.pivotCacheDefinition+xml" PartName="/xl/pivotCache/pivotCacheDefinition10.xml"/>
  <Override ContentType="application/vnd.openxmlformats-officedocument.spreadsheetml.pivotCacheRecords+xml" PartName="/xl/pivotCache/pivotCacheRecords10.xml"/>
  <Override ContentType="application/vnd.openxmlformats-officedocument.spreadsheetml.pivotTable+xml" PartName="/xl/pivotTables/pivotTable11.xml"/>
  <Override ContentType="application/vnd.openxmlformats-officedocument.spreadsheetml.pivotCacheDefinition+xml" PartName="/xl/pivotCache/pivotCacheDefinition11.xml"/>
  <Override ContentType="application/vnd.openxmlformats-officedocument.spreadsheetml.pivotCacheRecords+xml" PartName="/xl/pivotCache/pivotCacheRecords11.xml"/>
  <Override ContentType="application/vnd.openxmlformats-officedocument.spreadsheetml.pivotTable+xml" PartName="/xl/pivotTables/pivotTable12.xml"/>
  <Override ContentType="application/vnd.openxmlformats-officedocument.spreadsheetml.pivotCacheDefinition+xml" PartName="/xl/pivotCache/pivotCacheDefinition12.xml"/>
  <Override ContentType="application/vnd.openxmlformats-officedocument.spreadsheetml.pivotCacheRecords+xml" PartName="/xl/pivotCache/pivotCacheRecords12.xml"/>
  <Override ContentType="application/vnd.openxmlformats-officedocument.spreadsheetml.pivotTable+xml" PartName="/xl/pivotTables/pivotTable13.xml"/>
  <Override ContentType="application/vnd.openxmlformats-officedocument.spreadsheetml.pivotCacheDefinition+xml" PartName="/xl/pivotCache/pivotCacheDefinition13.xml"/>
  <Override ContentType="application/vnd.openxmlformats-officedocument.spreadsheetml.pivotCacheRecords+xml" PartName="/xl/pivotCache/pivotCacheRecords13.xml"/>
  <Override ContentType="application/vnd.openxmlformats-officedocument.drawing+xml" PartName="/xl/drawings/drawing24.xml"/>
  <Override ContentType="application/vnd.openxmlformats-officedocument.drawingml.chart+xml" PartName="/xl/charts/chart7.xml"/>
  <Override ContentType="application/vnd.openxmlformats-officedocument.spreadsheetml.pivotTable+xml" PartName="/xl/pivotTables/pivotTable14.xml"/>
  <Override ContentType="application/vnd.openxmlformats-officedocument.spreadsheetml.pivotCacheDefinition+xml" PartName="/xl/pivotCache/pivotCacheDefinition14.xml"/>
  <Override ContentType="application/vnd.openxmlformats-officedocument.spreadsheetml.pivotCacheRecords+xml" PartName="/xl/pivotCache/pivotCacheRecords14.xml"/>
  <Override ContentType="application/vnd.openxmlformats-officedocument.spreadsheetml.pivotTable+xml" PartName="/xl/pivotTables/pivotTable15.xml"/>
  <Override ContentType="application/vnd.openxmlformats-officedocument.spreadsheetml.pivotCacheDefinition+xml" PartName="/xl/pivotCache/pivotCacheDefinition15.xml"/>
  <Override ContentType="application/vnd.openxmlformats-officedocument.spreadsheetml.pivotCacheRecords+xml" PartName="/xl/pivotCache/pivotCacheRecords15.xml"/>
  <Override ContentType="application/vnd.openxmlformats-officedocument.drawing+xml" PartName="/xl/drawings/drawing27.xml"/>
  <Override ContentType="application/vnd.openxmlformats-officedocument.drawingml.chart+xml" PartName="/xl/charts/chart8.xml"/>
  <Override ContentType="application/vnd.openxmlformats-officedocument.spreadsheetml.pivotTable+xml" PartName="/xl/pivotTables/pivotTable16.xml"/>
  <Override ContentType="application/vnd.openxmlformats-officedocument.spreadsheetml.pivotCacheDefinition+xml" PartName="/xl/pivotCache/pivotCacheDefinition16.xml"/>
  <Override ContentType="application/vnd.openxmlformats-officedocument.spreadsheetml.pivotCacheRecords+xml" PartName="/xl/pivotCache/pivotCacheRecords16.xml"/>
  <Override ContentType="application/vnd.openxmlformats-officedocument.spreadsheetml.pivotTable+xml" PartName="/xl/pivotTables/pivotTable17.xml"/>
  <Override ContentType="application/vnd.openxmlformats-officedocument.spreadsheetml.pivotCacheDefinition+xml" PartName="/xl/pivotCache/pivotCacheDefinition17.xml"/>
  <Override ContentType="application/vnd.openxmlformats-officedocument.spreadsheetml.pivotCacheRecords+xml" PartName="/xl/pivotCache/pivotCacheRecords17.xml"/>
  <Override ContentType="application/vnd.openxmlformats-officedocument.drawing+xml" PartName="/xl/drawings/drawing30.xml"/>
  <Override ContentType="application/vnd.openxmlformats-officedocument.drawingml.chart+xml" PartName="/xl/charts/chart9.xml"/>
  <Override ContentType="application/vnd.openxmlformats-officedocument.spreadsheetml.pivotTable+xml" PartName="/xl/pivotTables/pivotTable18.xml"/>
  <Override ContentType="application/vnd.openxmlformats-officedocument.spreadsheetml.pivotCacheDefinition+xml" PartName="/xl/pivotCache/pivotCacheDefinition18.xml"/>
  <Override ContentType="application/vnd.openxmlformats-officedocument.spreadsheetml.pivotCacheRecords+xml" PartName="/xl/pivotCache/pivotCacheRecords18.xml"/>
  <Override ContentType="application/vnd.openxmlformats-officedocument.spreadsheetml.pivotTable+xml" PartName="/xl/pivotTables/pivotTable19.xml"/>
  <Override ContentType="application/vnd.openxmlformats-officedocument.spreadsheetml.pivotCacheDefinition+xml" PartName="/xl/pivotCache/pivotCacheDefinition19.xml"/>
  <Override ContentType="application/vnd.openxmlformats-officedocument.spreadsheetml.pivotCacheRecords+xml" PartName="/xl/pivotCache/pivotCacheRecords19.xml"/>
  <Override ContentType="application/vnd.openxmlformats-officedocument.drawing+xml" PartName="/xl/drawings/drawing33.xml"/>
  <Override ContentType="application/vnd.openxmlformats-officedocument.drawingml.chart+xml" PartName="/xl/charts/chart10.xml"/>
  <Override ContentType="application/vnd.openxmlformats-officedocument.spreadsheetml.pivotTable+xml" PartName="/xl/pivotTables/pivotTable20.xml"/>
  <Override ContentType="application/vnd.openxmlformats-officedocument.spreadsheetml.pivotCacheDefinition+xml" PartName="/xl/pivotCache/pivotCacheDefinition20.xml"/>
  <Override ContentType="application/vnd.openxmlformats-officedocument.spreadsheetml.pivotCacheRecords+xml" PartName="/xl/pivotCache/pivotCacheRecords20.xml"/>
  <Override ContentType="application/vnd.openxmlformats-officedocument.spreadsheetml.table+xml" PartName="/xl/tables/table1.xml"/>
  <Override ContentType="application/vnd.openxmlformats-officedocument.spreadsheetml.table+xml" PartName="/xl/tables/table1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.All" sheetId="4" r:id="rId5"/>
    <sheet name="5.Applications.APM" sheetId="5" r:id="rId6"/>
    <sheet name="6.Tiers" sheetId="6" r:id="rId7"/>
    <sheet name="6.Tiers.Type" sheetId="7" r:id="rId8"/>
    <sheet name="7.Nodes" sheetId="8" r:id="rId9"/>
    <sheet name="7.Nodes.Type.AppAgent" sheetId="9" r:id="rId10"/>
    <sheet name="7.Nodes.Type.MachineAgent" sheetId="10" r:id="rId11"/>
    <sheet name="7.Nodes.Host.Type" sheetId="11" r:id="rId12"/>
    <sheet name="7.Nodes.Heap.Size" sheetId="12" r:id="rId13"/>
    <sheet name="7.Nodes.Runtime.Version" sheetId="13" r:id="rId14"/>
    <sheet name="8.Node Startup Options" sheetId="14" r:id="rId15"/>
    <sheet name="8.Node Startup Options.Type" sheetId="15" r:id="rId16"/>
    <sheet name="8.Node Startup Options.Location" sheetId="16" r:id="rId17"/>
    <sheet name="8.Node VM Properties" sheetId="17" r:id="rId18"/>
    <sheet name="8.Node VM Properties.Type" sheetId="18" r:id="rId19"/>
    <sheet name="8.Node VM Properties.Location" sheetId="19" r:id="rId20"/>
    <sheet name="8.Node Env Variables" sheetId="20" r:id="rId21"/>
    <sheet name="8.Node Env Variables.Type" sheetId="21" r:id="rId22"/>
    <sheet name="8.Node Env Variables.Location" sheetId="22" r:id="rId23"/>
    <sheet name="9.Backends" sheetId="23" r:id="rId24"/>
    <sheet name="9.Backends.Type" sheetId="24" r:id="rId25"/>
    <sheet name="9.Backends.Location" sheetId="25" r:id="rId26"/>
    <sheet name="10.Business Transactions" sheetId="26" r:id="rId27"/>
    <sheet name="10.BTs.Type" sheetId="27" r:id="rId28"/>
    <sheet name="10.BTs.Location" sheetId="28" r:id="rId29"/>
    <sheet name="11.SEPs" sheetId="29" r:id="rId30"/>
    <sheet name="11.SEPs.Type" sheetId="30" r:id="rId31"/>
    <sheet name="11.SEPs.Location" sheetId="31" r:id="rId32"/>
    <sheet name="12.Errors" sheetId="32" r:id="rId33"/>
    <sheet name="12.Errors.Type" sheetId="33" r:id="rId34"/>
    <sheet name="12.Errors.Location" sheetId="34" r:id="rId35"/>
    <sheet name="13.Information Points" sheetId="35" r:id="rId36"/>
    <sheet name="13.Information Points.Type" sheetId="36" r:id="rId37"/>
    <sheet name="14.Mapped Backends" sheetId="37" r:id="rId38"/>
    <sheet name="14.Mapped Backends.Type" sheetId="38" r:id="rId39"/>
    <sheet name="15.Overflow BTs" sheetId="39" r:id="rId40"/>
    <sheet name="15.Overflow.BTs.Type" sheetId="40" r:id="rId41"/>
  </sheets>
  <calcPr fullCalcOnLoad="1"/>
  <pivotCaches>
    <pivotCache cacheId="1" r:id="rId42"/>
    <pivotCache cacheId="2" r:id="rId43"/>
    <pivotCache cacheId="3" r:id="rId44"/>
    <pivotCache cacheId="4" r:id="rId45"/>
    <pivotCache cacheId="5" r:id="rId46"/>
    <pivotCache cacheId="6" r:id="rId47"/>
    <pivotCache cacheId="7" r:id="rId48"/>
    <pivotCache cacheId="8" r:id="rId49"/>
    <pivotCache cacheId="9" r:id="rId50"/>
    <pivotCache cacheId="10" r:id="rId51"/>
    <pivotCache cacheId="11" r:id="rId52"/>
    <pivotCache cacheId="12" r:id="rId53"/>
    <pivotCache cacheId="13" r:id="rId54"/>
    <pivotCache cacheId="14" r:id="rId55"/>
    <pivotCache cacheId="15" r:id="rId56"/>
    <pivotCache cacheId="16" r:id="rId57"/>
    <pivotCache cacheId="17" r:id="rId58"/>
    <pivotCache cacheId="18" r:id="rId59"/>
    <pivotCache cacheId="19" r:id="rId60"/>
    <pivotCache cacheId="20" r:id="rId61"/>
  </pivotCaches>
</workbook>
</file>

<file path=xl/sharedStrings.xml><?xml version="1.0" encoding="utf-8"?>
<sst xmlns="http://schemas.openxmlformats.org/spreadsheetml/2006/main" count="1788" uniqueCount="1788">
  <si>
    <t>Table of Contents</t>
  </si>
  <si>
    <t>AppDynamics DEXTER Detected APM Entities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</si>
  <si>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</si>
  <si>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</si>
  <si>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</si>
  <si>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</si>
  <si>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</si>
  <si>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</si>
  <si>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</si>
  <si>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</si>
  <si>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</si>
  <si>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</si>
  <si>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</si>
  <si>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</si>
  <si>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</si>
  <si>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</si>
  <si>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</si>
  <si>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</si>
  <si>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</si>
  <si>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</si>
  <si>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</si>
  <si>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</si>
  <si>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</si>
  <si>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</si>
  <si>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</si>
  <si>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</si>
  <si>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</si>
  <si>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</si>
  <si>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</si>
  <si>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</si>
  <si>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</si>
  <si>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</si>
  <si>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</si>
  <si>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</si>
  <si>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</si>
  <si>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</si>
  <si>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</si>
  <si>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</si>
  <si>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4.Applications.All</t>
  </si>
  <si>
    <t>5.Applications.APM</t>
  </si>
  <si>
    <t>6.Tiers</t>
  </si>
  <si>
    <t>6.Tiers.Type</t>
  </si>
  <si>
    <t>3 rows x 1 columns x 0 filters</t>
  </si>
  <si>
    <t>7.Nodes</t>
  </si>
  <si>
    <t>7.Nodes.Type.AppAgent</t>
  </si>
  <si>
    <t>4 rows x 2 columns x 1 filters</t>
  </si>
  <si>
    <t>7.Nodes.Type.MachineAgent</t>
  </si>
  <si>
    <t>7.Nodes.Host.Type</t>
  </si>
  <si>
    <t>8 rows x 1 columns x 1 filters</t>
  </si>
  <si>
    <t>7.Nodes.Heap.Size</t>
  </si>
  <si>
    <t>4 rows x 0 columns x 3 filters</t>
  </si>
  <si>
    <t>7.Nodes.Runtime.Version</t>
  </si>
  <si>
    <t>7 rows x 0 columns x 2 filters</t>
  </si>
  <si>
    <t>8.Node Startup Options</t>
  </si>
  <si>
    <t>8.Node Startup Options.Type</t>
  </si>
  <si>
    <t>6 rows x 1 columns x 0 filters</t>
  </si>
  <si>
    <t>8.Node Startup Options.Location</t>
  </si>
  <si>
    <t>8.Node VM Properties</t>
  </si>
  <si>
    <t>8.Node VM Properties.Type</t>
  </si>
  <si>
    <t>8.Node VM Properties.Location</t>
  </si>
  <si>
    <t>8.Node Env Variables</t>
  </si>
  <si>
    <t>8.Node Env Variables.Type</t>
  </si>
  <si>
    <t>8.Node Env Variables.Location</t>
  </si>
  <si>
    <t>9.Backends</t>
  </si>
  <si>
    <t>9.Backends.Type</t>
  </si>
  <si>
    <t>3 rows x 1 columns x 1 filters</t>
  </si>
  <si>
    <t>9.Backends.Location</t>
  </si>
  <si>
    <t>4 rows x 0 columns x 1 filters</t>
  </si>
  <si>
    <t>10.Business Transactions</t>
  </si>
  <si>
    <t>10.BTs.Type</t>
  </si>
  <si>
    <t>4 rows x 1 columns x 2 filters</t>
  </si>
  <si>
    <t>10.BTs.Location</t>
  </si>
  <si>
    <t>5 rows x 0 columns x 2 filters</t>
  </si>
  <si>
    <t>11.SEPs</t>
  </si>
  <si>
    <t>11.SEPs.Type</t>
  </si>
  <si>
    <t>4 rows x 1 columns x 0 filters</t>
  </si>
  <si>
    <t>11.SEPs.Location</t>
  </si>
  <si>
    <t>5 rows x 0 columns x 0 filters</t>
  </si>
  <si>
    <t>12.Errors</t>
  </si>
  <si>
    <t>12.Errors.Type</t>
  </si>
  <si>
    <t>4 rows x 1 columns x 1 filters</t>
  </si>
  <si>
    <t>12.Errors.Location</t>
  </si>
  <si>
    <t>5 rows x 0 columns x 1 filters</t>
  </si>
  <si>
    <t>13.Information Points</t>
  </si>
  <si>
    <t>13.Information Points.Type</t>
  </si>
  <si>
    <t>14.Mapped Backends</t>
  </si>
  <si>
    <t>14.Mapped Backends.Type</t>
  </si>
  <si>
    <t>15.Overflow BTs</t>
  </si>
  <si>
    <t>15.Overflow.BTs.Type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</si>
  <si>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</si>
  <si>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</si>
  <si>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</si>
  <si>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</si>
  <si>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</si>
  <si>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</si>
  <si>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</si>
  <si>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</si>
  <si>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</si>
  <si>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</si>
  <si>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</si>
  <si>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</si>
  <si>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</si>
  <si>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</si>
  <si>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Description</t>
  </si>
  <si>
    <t>Type</t>
  </si>
  <si>
    <t>Types</t>
  </si>
  <si>
    <t>CreatedBy</t>
  </si>
  <si>
    <t>CreatedOn</t>
  </si>
  <si>
    <t>CreatedOnUtc</t>
  </si>
  <si>
    <t>UpdatedBy</t>
  </si>
  <si>
    <t>UpdatedOn</t>
  </si>
  <si>
    <t>UpdatedOnUtc</t>
  </si>
  <si>
    <t>ParentApplicationID</t>
  </si>
  <si>
    <t>CAPI</t>
  </si>
  <si>
    <t/>
  </si>
  <si>
    <t>["APM"]</t>
  </si>
  <si>
    <t>singularity-agent</t>
  </si>
  <si>
    <t>CFAM</t>
  </si>
  <si>
    <t>CWSA</t>
  </si>
  <si>
    <t>MITSUBISHIUFJNICOS_PC_BRANCH</t>
  </si>
  <si>
    <t>NEWSPLUS_EAR</t>
  </si>
  <si>
    <t>NNBR</t>
  </si>
  <si>
    <t>admin</t>
  </si>
  <si>
    <t>AppDynamics Analytics-2</t>
  </si>
  <si>
    <t>BIQ</t>
  </si>
  <si>
    <t>["ANALYTICS"]</t>
  </si>
  <si>
    <t>root</t>
  </si>
  <si>
    <t>Database Monitoring</t>
  </si>
  <si>
    <t>DB</t>
  </si>
  <si>
    <t>["DATABASE"]</t>
  </si>
  <si>
    <t>Server &amp; Infrastructure Monitoring</t>
  </si>
  <si>
    <t>SIM</t>
  </si>
  <si>
    <t>["INFRA"]</t>
  </si>
  <si>
    <t>NumTiers</t>
  </si>
  <si>
    <t>NumNodes</t>
  </si>
  <si>
    <t>NumBackends</t>
  </si>
  <si>
    <t>NumBTs</t>
  </si>
  <si>
    <t>NumSEPs</t>
  </si>
  <si>
    <t>NumErrors</t>
  </si>
  <si>
    <t>NumIPs</t>
  </si>
  <si>
    <t>DetailLink</t>
  </si>
  <si>
    <t>MetricGraphLink</t>
  </si>
  <si>
    <t>FlameGraphLink</t>
  </si>
  <si>
    <t>FlameChartLink</t>
  </si>
  <si>
    <t>ApplicationLink</t>
  </si>
  <si>
    <t>http://10.175.1.14:8090/controller/#/location=APP_DASHBOARD&amp;timeRange=last_15_minutes.BEFORE_NOW.-1.-1.15&amp;application=12&amp;dashboardMode=force</t>
  </si>
  <si>
    <t>See Pivot</t>
  </si>
  <si>
    <t>TierName</t>
  </si>
  <si>
    <t>TierType</t>
  </si>
  <si>
    <t>AgentType</t>
  </si>
  <si>
    <t>TierID</t>
  </si>
  <si>
    <t>TierLink</t>
  </si>
  <si>
    <t>Extention</t>
  </si>
  <si>
    <t>Application Server</t>
  </si>
  <si>
    <t>APP_AGENT</t>
  </si>
  <si>
    <t>http://10.175.1.14:8090/controller/#/location=APP_COMPONENT_MANAGER&amp;timeRange=last_15_minutes.BEFORE_NOW.-1.-1.15&amp;application=12&amp;component=33&amp;dashboardMode=force</t>
  </si>
  <si>
    <t>shmweb0x0am-MUFGWebService</t>
  </si>
  <si>
    <t>http://10.175.1.14:8090/controller/#/location=APP_COMPONENT_MANAGER&amp;timeRange=last_15_minutes.BEFORE_NOW.-1.-1.15&amp;application=12&amp;component=42&amp;dashboardMode=force</t>
  </si>
  <si>
    <t>shmweb0x0an-Nyukai-CR</t>
  </si>
  <si>
    <t>http://10.175.1.14:8090/controller/#/location=APP_COMPONENT_MANAGER&amp;timeRange=last_15_minutes.BEFORE_NOW.-1.-1.15&amp;application=12&amp;component=39&amp;dashboardMode=force</t>
  </si>
  <si>
    <t>shmweb0x0an-Nyukai-MAINT</t>
  </si>
  <si>
    <t>http://10.175.1.14:8090/controller/#/location=APP_COMPONENT_MANAGER&amp;timeRange=last_15_minutes.BEFORE_NOW.-1.-1.15&amp;application=12&amp;component=41&amp;dashboardMode=force</t>
  </si>
  <si>
    <t>shmweb0x0an-Nyukai-UFJC</t>
  </si>
  <si>
    <t>http://10.175.1.14:8090/controller/#/location=APP_COMPONENT_MANAGER&amp;timeRange=last_15_minutes.BEFORE_NOW.-1.-1.15&amp;application=12&amp;component=40&amp;dashboardMode=force</t>
  </si>
  <si>
    <t>shmweb0x0at-TogoWebService1M</t>
  </si>
  <si>
    <t>http://10.175.1.14:8090/controller/#/location=APP_COMPONENT_MANAGER&amp;timeRange=last_15_minutes.BEFORE_NOW.-1.-1.15&amp;application=12&amp;component=36&amp;dashboardMode=force</t>
  </si>
  <si>
    <t>shmweb0x0at-TogoWebService2D</t>
  </si>
  <si>
    <t>http://10.175.1.14:8090/controller/#/location=APP_COMPONENT_MANAGER&amp;timeRange=last_15_minutes.BEFORE_NOW.-1.-1.15&amp;application=12&amp;component=37&amp;dashboardMode=force</t>
  </si>
  <si>
    <t>shmweb0x0at-TogoWebService3N</t>
  </si>
  <si>
    <t>http://10.175.1.14:8090/controller/#/location=APP_COMPONENT_MANAGER&amp;timeRange=last_15_minutes.BEFORE_NOW.-1.-1.15&amp;application=12&amp;component=38&amp;dashboardMode=force</t>
  </si>
  <si>
    <t>shmweb0x0cp-CMS</t>
  </si>
  <si>
    <t>PHP Application Server</t>
  </si>
  <si>
    <t>PHP_APP_AGENT</t>
  </si>
  <si>
    <t>http://10.175.1.14:8090/controller/#/location=APP_COMPONENT_MANAGER&amp;timeRange=last_15_minutes.BEFORE_NOW.-1.-1.15&amp;application=12&amp;component=35&amp;dashboardMode=force</t>
  </si>
  <si>
    <t>shmweb0x0fp-FEPGW</t>
  </si>
  <si>
    <t>http://10.175.1.14:8090/controller/#/location=APP_COMPONENT_MANAGER&amp;timeRange=last_15_minutes.BEFORE_NOW.-1.-1.15&amp;application=12&amp;component=43&amp;dashboardMode=force</t>
  </si>
  <si>
    <t>shmweb0x0od-OD</t>
  </si>
  <si>
    <t>http://10.175.1.14:8090/controller/#/location=APP_COMPONENT_MANAGER&amp;timeRange=last_15_minutes.BEFORE_NOW.-1.-1.15&amp;application=12&amp;component=34&amp;dashboardMode=force</t>
  </si>
  <si>
    <t>skmweb2x0am-MUFGWebService</t>
  </si>
  <si>
    <t>http://10.175.1.14:8090/controller/#/location=APP_COMPONENT_MANAGER&amp;timeRange=last_15_minutes.BEFORE_NOW.-1.-1.15&amp;application=12&amp;component=49&amp;dashboardMode=force</t>
  </si>
  <si>
    <t>skmweb2x0an-Nyukai-CR</t>
  </si>
  <si>
    <t>http://10.175.1.14:8090/controller/#/location=APP_COMPONENT_MANAGER&amp;timeRange=last_15_minutes.BEFORE_NOW.-1.-1.15&amp;application=12&amp;component=50&amp;dashboardMode=force</t>
  </si>
  <si>
    <t>skmweb2x0an-Nyukai-MAINT</t>
  </si>
  <si>
    <t>http://10.175.1.14:8090/controller/#/location=APP_COMPONENT_MANAGER&amp;timeRange=last_15_minutes.BEFORE_NOW.-1.-1.15&amp;application=12&amp;component=52&amp;dashboardMode=force</t>
  </si>
  <si>
    <t>skmweb2x0an-Nyukai-UFJC</t>
  </si>
  <si>
    <t>http://10.175.1.14:8090/controller/#/location=APP_COMPONENT_MANAGER&amp;timeRange=last_15_minutes.BEFORE_NOW.-1.-1.15&amp;application=12&amp;component=51&amp;dashboardMode=force</t>
  </si>
  <si>
    <t>skmweb2x0at01-TogoWebService2D</t>
  </si>
  <si>
    <t>http://10.175.1.14:8090/controller/#/location=APP_COMPONENT_MANAGER&amp;timeRange=last_15_minutes.BEFORE_NOW.-1.-1.15&amp;application=12&amp;component=54&amp;dashboardMode=force</t>
  </si>
  <si>
    <t>skmweb2x0at-TogoWebService1M</t>
  </si>
  <si>
    <t>http://10.175.1.14:8090/controller/#/location=APP_COMPONENT_MANAGER&amp;timeRange=last_15_minutes.BEFORE_NOW.-1.-1.15&amp;application=12&amp;component=53&amp;dashboardMode=force</t>
  </si>
  <si>
    <t>skmweb2x0at-TogoWebService3N</t>
  </si>
  <si>
    <t>http://10.175.1.14:8090/controller/#/location=APP_COMPONENT_MANAGER&amp;timeRange=last_15_minutes.BEFORE_NOW.-1.-1.15&amp;application=12&amp;component=56&amp;dashboardMode=force</t>
  </si>
  <si>
    <t>skmweb2x0cp-CMS</t>
  </si>
  <si>
    <t>http://10.175.1.14:8090/controller/#/location=APP_COMPONENT_MANAGER&amp;timeRange=last_15_minutes.BEFORE_NOW.-1.-1.15&amp;application=12&amp;component=48&amp;dashboardMode=force</t>
  </si>
  <si>
    <t>skmweb2x0fp-FEPGW</t>
  </si>
  <si>
    <t>http://10.175.1.14:8090/controller/#/location=APP_COMPONENT_MANAGER&amp;timeRange=last_15_minutes.BEFORE_NOW.-1.-1.15&amp;application=12&amp;component=55&amp;dashboardMode=force</t>
  </si>
  <si>
    <t>skmweb2x0od-OD</t>
  </si>
  <si>
    <t>http://10.175.1.14:8090/controller/#/location=APP_COMPONENT_MANAGER&amp;timeRange=last_15_minutes.BEFORE_NOW.-1.-1.15&amp;application=12&amp;component=47&amp;dashboardMode=force</t>
  </si>
  <si>
    <t>See Table</t>
  </si>
  <si>
    <t>Types of App Agent</t>
  </si>
  <si>
    <t>Host Info</t>
  </si>
  <si>
    <t>Runtime/Version</t>
  </si>
  <si>
    <t>Types of Machine Agent</t>
  </si>
  <si>
    <t>Heap Size</t>
  </si>
  <si>
    <t>NodeName</t>
  </si>
  <si>
    <t>AgentVersion</t>
  </si>
  <si>
    <t>AgentVersionRaw</t>
  </si>
  <si>
    <t>AgentPresent</t>
  </si>
  <si>
    <t>MachineName</t>
  </si>
  <si>
    <t>MachineAgentVersion</t>
  </si>
  <si>
    <t>MachineAgentVersionRaw</t>
  </si>
  <si>
    <t>MachineAgentPresent</t>
  </si>
  <si>
    <t>MachineOSType</t>
  </si>
  <si>
    <t>MachineType</t>
  </si>
  <si>
    <t>AgentRuntime</t>
  </si>
  <si>
    <t>InstallDirectory</t>
  </si>
  <si>
    <t>InstallTime</t>
  </si>
  <si>
    <t>LastStartTime</t>
  </si>
  <si>
    <t>IsDisabled</t>
  </si>
  <si>
    <t>IsMonitoringDisabled</t>
  </si>
  <si>
    <t>WebHostContainerType</t>
  </si>
  <si>
    <t>CloudHostType</t>
  </si>
  <si>
    <t>CloudRegion</t>
  </si>
  <si>
    <t>ContainerRuntimeType</t>
  </si>
  <si>
    <t>HeapInitialSizeMB</t>
  </si>
  <si>
    <t>HeapMaxSizeMB</t>
  </si>
  <si>
    <t>HeapYoungInitialSizeMB</t>
  </si>
  <si>
    <t>HeapYoungMaxSizeMB</t>
  </si>
  <si>
    <t>ClassPath</t>
  </si>
  <si>
    <t>ClassVersion</t>
  </si>
  <si>
    <t>Home</t>
  </si>
  <si>
    <t>RuntimeName</t>
  </si>
  <si>
    <t>RuntimeVersion</t>
  </si>
  <si>
    <t>Vendor</t>
  </si>
  <si>
    <t>VendorVersion</t>
  </si>
  <si>
    <t>VMInfo</t>
  </si>
  <si>
    <t>VMName</t>
  </si>
  <si>
    <t>VMVendor</t>
  </si>
  <si>
    <t>VMVersion</t>
  </si>
  <si>
    <t>OSArchitecture</t>
  </si>
  <si>
    <t>OSName</t>
  </si>
  <si>
    <t>OSVersion</t>
  </si>
  <si>
    <t>OSComputerName</t>
  </si>
  <si>
    <t>OSProcessorType</t>
  </si>
  <si>
    <t>OSProcessorRevision</t>
  </si>
  <si>
    <t>OSNumberOfProcs</t>
  </si>
  <si>
    <t>Domain</t>
  </si>
  <si>
    <t>NumStartupOptions</t>
  </si>
  <si>
    <t>NumProperties</t>
  </si>
  <si>
    <t>NumEnvVariables</t>
  </si>
  <si>
    <t>NodeID</t>
  </si>
  <si>
    <t>MachineID</t>
  </si>
  <si>
    <t>NodeLink</t>
  </si>
  <si>
    <t>skcaws1c0mo01_MWEB</t>
  </si>
  <si>
    <t>MACHINE_AGENT</t>
  </si>
  <si>
    <t>20.6.0.0</t>
  </si>
  <si>
    <t>Machine Agent v20.6.0-2676 GA compatible with 4.4.1.0 Build Date 2020-06-23 08:07:30</t>
  </si>
  <si>
    <t>Linux</t>
  </si>
  <si>
    <t>Other</t>
  </si>
  <si>
    <t>http://10.175.1.14:8090/controller/#/location=APP_NODE_MANAGER&amp;timeRange=last_15_minutes.BEFORE_NOW.-1.-1.15&amp;application=12&amp;node=703&amp;dashboardMode=force</t>
  </si>
  <si>
    <t>skmweb2x0am01-1</t>
  </si>
  <si>
    <t>20.6.0.30246</t>
  </si>
  <si>
    <t>Server Agent #20.6.0.30246 v20.6.0 GA compatible with 4.4.1.0 r6b0f05b34dd990b8006acb06d3820d0b2cb31f7f master</t>
  </si>
  <si>
    <t>skmweb2x0am01</t>
  </si>
  <si>
    <t>Java HotSpot(TM) 64-Bit Server VM 1.8.0_271 Oracle Corporation</t>
  </si>
  <si>
    <t>/opt/appdynamics/javaAgent/ver20.6.0.30246</t>
  </si>
  <si>
    <t>Oracle WebLogic</t>
  </si>
  <si>
    <t>/usr/java/jdk1.8.0_271-amd64/lib/tools.jar:/export/home/mufgadm/Oracle/Middleware/Oracle_Home/wlserver/modules/features/wlst.wls.classpath.jar:/export/home/mufgadm/Oracle/Middleware/Oracle_Home/wlserver/server/lib/debugpatch-agent.jar:/opt/appdynamics/javaAgent/javaagent.jar</t>
  </si>
  <si>
    <t>52.0</t>
  </si>
  <si>
    <t>/usr/java/jdk1.8.0_271-amd64/jre</t>
  </si>
  <si>
    <t>Java(TM) SE Runtime Environment</t>
  </si>
  <si>
    <t>1.8.0_271-b09</t>
  </si>
  <si>
    <t>Oracle Corporation</t>
  </si>
  <si>
    <t>1.8.0_271</t>
  </si>
  <si>
    <t>mixed mode</t>
  </si>
  <si>
    <t>Java HotSpot(TM) 64-Bit Server VM</t>
  </si>
  <si>
    <t>25.271-b09</t>
  </si>
  <si>
    <t>amd64</t>
  </si>
  <si>
    <t>3.10.0-1160.49.1.el7.x86_64</t>
  </si>
  <si>
    <t>mufgadm</t>
  </si>
  <si>
    <t>http://10.175.1.14:8090/controller/#/location=APP_NODE_MANAGER&amp;timeRange=last_15_minutes.BEFORE_NOW.-1.-1.15&amp;application=12&amp;node=2774&amp;dashboardMode=force</t>
  </si>
  <si>
    <t>skmweb2x0am01-2</t>
  </si>
  <si>
    <t>http://10.175.1.14:8090/controller/#/location=APP_NODE_MANAGER&amp;timeRange=last_15_minutes.BEFORE_NOW.-1.-1.15&amp;application=12&amp;node=2775&amp;dashboardMode=force</t>
  </si>
  <si>
    <t>skmweb2x0an01-CR</t>
  </si>
  <si>
    <t>skmweb2x0an01</t>
  </si>
  <si>
    <t>/usr/java/jdk1.8.0_271-amd64/lib/tools.jar:/export/home/crmufgwb/Oracle/Middleware/Oracle_Home/wlserver/modules/features/wlst.wls.classpath.jar:/export/home/crmufgwb/Oracle/Middleware/Oracle_Home/wlserver/server/lib/debugpatch-agent.jar:/opt/appdynamics/javaAgent/javaagent.jar</t>
  </si>
  <si>
    <t>3.10.0-1160.6.1.el7.x86_64</t>
  </si>
  <si>
    <t>crmufgwb</t>
  </si>
  <si>
    <t>http://10.175.1.14:8090/controller/#/location=APP_NODE_MANAGER&amp;timeRange=last_15_minutes.BEFORE_NOW.-1.-1.15&amp;application=12&amp;node=2784&amp;dashboardMode=force</t>
  </si>
  <si>
    <t>skmweb2x0an01-MAINT</t>
  </si>
  <si>
    <t>/usr/java/jdk1.8.0_271-amd64/lib/tools.jar:/export/home/npmntwb/Oracle/Middleware/Oracle_Home/wlserver/modules/features/wlst.wls.classpath.jar:/export/home/npmntwb/Oracle/Middleware/Oracle_Home/wlserver/server/lib/debugpatch-agent.jar:/opt/appdynamics/javaAgent/javaagent.jar</t>
  </si>
  <si>
    <t>npmntwb</t>
  </si>
  <si>
    <t>http://10.175.1.14:8090/controller/#/location=APP_NODE_MANAGER&amp;timeRange=last_15_minutes.BEFORE_NOW.-1.-1.15&amp;application=12&amp;node=2786&amp;dashboardMode=force</t>
  </si>
  <si>
    <t>skmweb2x0an01-UFJC</t>
  </si>
  <si>
    <t>/usr/java/jdk1.8.0_271-amd64/lib/tools.jar:/export/home/museadmin/Oracle/Middleware/Oracle_Home/wlserver/modules/features/wlst.wls.classpath.jar:/export/home/museadmin/Oracle/Middleware/Oracle_Home/wlserver/server/lib/debugpatch-agent.jar:/opt/appdynamics/javaAgent/javaagent.jar</t>
  </si>
  <si>
    <t>museadm</t>
  </si>
  <si>
    <t>http://10.175.1.14:8090/controller/#/location=APP_NODE_MANAGER&amp;timeRange=last_15_minutes.BEFORE_NOW.-1.-1.15&amp;application=12&amp;node=2785&amp;dashboardMode=force</t>
  </si>
  <si>
    <t>skmweb2x0at01-2D</t>
  </si>
  <si>
    <t>skmweb2x0at01</t>
  </si>
  <si>
    <t>/usr/java/jdk1.8.0_271-amd64/lib/tools.jar:/export/home/npmufgwb/Oracle/Middleware/Oracle_Home/wlserver/server/lib/weblogic.jar:/export/home/npmufgwb/Oracle/Middleware/Oracle_Home/wlserver/../oracle_common/modules/thirdparty/ant-contrib-1.0b3.jar:/export/home/npmufgwb/Oracle/Middleware/Oracle_Home/wlserver/modules/features/oracle.wls.common.nodemanager.jar:/export/home/npmufgwb/Oracle/Middleware/Oracle_Home/wlserver/common/derby/lib/derbyclient.jar:/export/home/npmufgwb/Oracle/Middleware/Oracle_Home/wlserver/common/derby/lib/derby.jar</t>
  </si>
  <si>
    <t>npmufgwb</t>
  </si>
  <si>
    <t>http://10.175.1.14:8090/controller/#/location=APP_NODE_MANAGER&amp;timeRange=last_15_minutes.BEFORE_NOW.-1.-1.15&amp;application=12&amp;node=2781&amp;dashboardMode=force</t>
  </si>
  <si>
    <t>skmweb2x0at01-1M</t>
  </si>
  <si>
    <t>/usr/java/jdk1.8.0_271-amd64/lib/tools.jar:/export/home/npmufgwb/Oracle/Middleware/Oracle_Home/wlserver/modules/features/wlst.wls.classpath.jar:/export/home/npmufgwb/Oracle/Middleware/Oracle_Home/wlserver/server/lib/debugpatch-agent.jar:/opt/appdynamics/javaAgent/javaagent.jar</t>
  </si>
  <si>
    <t>http://10.175.1.14:8090/controller/#/location=APP_NODE_MANAGER&amp;timeRange=last_15_minutes.BEFORE_NOW.-1.-1.15&amp;application=12&amp;node=2780&amp;dashboardMode=force</t>
  </si>
  <si>
    <t>skmweb2x0at01-3N</t>
  </si>
  <si>
    <t>http://10.175.1.14:8090/controller/#/location=APP_NODE_MANAGER&amp;timeRange=last_15_minutes.BEFORE_NOW.-1.-1.15&amp;application=12&amp;node=2782&amp;dashboardMode=force</t>
  </si>
  <si>
    <t>skmweb2x0fp01</t>
  </si>
  <si>
    <t>.:/usr/java/jdk1.8.0_271-amd64/lib/tools.jar:/opt/Oracle/Middleware/wlserver/server/lib/weblogic.jar:/opt/blocs/lib/system/UtBase.jar:/opt/blocs/lib/batch/CmBatchCore.jar:/opt/blocs/lib/system/BlMessage_ja.jar:/usr/share/java/mysql-connector-java.jar:/WLC/fepgw/lib/WlcFgwBase.jar:/WLC/fepgw/lib/WlcFgwWLApplication.jar:/opt/appdynamics/javaAgent/javaagent.jar</t>
  </si>
  <si>
    <t>ipjadmin</t>
  </si>
  <si>
    <t>http://10.175.1.14:8090/controller/#/location=APP_NODE_MANAGER&amp;timeRange=last_15_minutes.BEFORE_NOW.-1.-1.15&amp;application=12&amp;node=2103&amp;dashboardMode=force</t>
  </si>
  <si>
    <t>skmweb2x0od01-1</t>
  </si>
  <si>
    <t>skmweb2x0od01</t>
  </si>
  <si>
    <t>Tomcat Catalina</t>
  </si>
  <si>
    <t>/opt/tomcat1/bin/bootstrap.jar:/opt/tomcat1/bin/tomcat-juli.jar:/opt/appdynamics/javaAgent/javaagent.jar</t>
  </si>
  <si>
    <t>tomcat</t>
  </si>
  <si>
    <t>http://10.175.1.14:8090/controller/#/location=APP_NODE_MANAGER&amp;timeRange=last_15_minutes.BEFORE_NOW.-1.-1.15&amp;application=12&amp;node=2079&amp;dashboardMode=force</t>
  </si>
  <si>
    <t>skmweb2x0od01-2</t>
  </si>
  <si>
    <t>/opt/tomcat2/bin/bootstrap.jar:/opt/tomcat2/bin/tomcat-juli.jar:/opt/appdynamics/javaAgent/javaagent.jar</t>
  </si>
  <si>
    <t>http://10.175.1.14:8090/controller/#/location=APP_NODE_MANAGER&amp;timeRange=last_15_minutes.BEFORE_NOW.-1.-1.15&amp;application=12&amp;node=2080&amp;dashboardMode=force</t>
  </si>
  <si>
    <t>skmweb2x0od01-3</t>
  </si>
  <si>
    <t>/opt/tomcat3/bin/bootstrap.jar:/opt/tomcat3/bin/tomcat-juli.jar:/opt/appdynamics/javaAgent/javaagent.jar</t>
  </si>
  <si>
    <t>http://10.175.1.14:8090/controller/#/location=APP_NODE_MANAGER&amp;timeRange=last_15_minutes.BEFORE_NOW.-1.-1.15&amp;application=12&amp;node=2792&amp;dashboardMode=force</t>
  </si>
  <si>
    <t>Types of Options</t>
  </si>
  <si>
    <t>Locations of Options</t>
  </si>
  <si>
    <t>PropName</t>
  </si>
  <si>
    <t>PropValue</t>
  </si>
  <si>
    <t>appdynamics.agent.applicationName</t>
  </si>
  <si>
    <t>appdynamics.agent.nodeName</t>
  </si>
  <si>
    <t>appdynamics.agent.tierName</t>
  </si>
  <si>
    <t>da</t>
  </si>
  <si>
    <t>java.system.class.loader</t>
  </si>
  <si>
    <t>com.oracle.classloader.weblogic.LaunchClassLoader</t>
  </si>
  <si>
    <t>javaagent</t>
  </si>
  <si>
    <t>/export/home/mufgadm/Oracle/Middleware/Oracle_Home/wlserver/server/lib/debugpatch-agent.jar</t>
  </si>
  <si>
    <t>/opt/appdynamics/javaAgent/javaagent.jar</t>
  </si>
  <si>
    <t>weblogic.home</t>
  </si>
  <si>
    <t>/export/home/mufgadm/Oracle/Middleware/Oracle_Home/wlserver/server</t>
  </si>
  <si>
    <t>weblogic.management.server</t>
  </si>
  <si>
    <t>t3://skmweb2x0am01:7101</t>
  </si>
  <si>
    <t>weblogic.ProductionModeEnabled</t>
  </si>
  <si>
    <t>true</t>
  </si>
  <si>
    <t>weblogic.security.SSL.ignoreHostnameVerification</t>
  </si>
  <si>
    <t>weblogic.security.SSL.trustedCAKeyStore</t>
  </si>
  <si>
    <t>*****</t>
  </si>
  <si>
    <t>wls.home</t>
  </si>
  <si>
    <t>Xloggc</t>
  </si>
  <si>
    <t>/var/mufgweblogic1/logs/gc202202182234.log</t>
  </si>
  <si>
    <t>Xms</t>
  </si>
  <si>
    <t>1024m</t>
  </si>
  <si>
    <t>Xmx</t>
  </si>
  <si>
    <t>t3://skmweb2x0am01:7110</t>
  </si>
  <si>
    <t>/var/mufgweblogic2/logs/gc202202182234.log</t>
  </si>
  <si>
    <t>/export/home/crmufgwb/Oracle/Middleware/Oracle_Home/wlserver/server/lib/debugpatch-agent.jar</t>
  </si>
  <si>
    <t>/export/home/crmufgwb/Oracle/Middleware/Oracle_Home/wlserver/server</t>
  </si>
  <si>
    <t>t3://skmweb2x0an01:7201</t>
  </si>
  <si>
    <t>/var/crmufgweblogic/logs/gc202202211147.log</t>
  </si>
  <si>
    <t>256m</t>
  </si>
  <si>
    <t>512m</t>
  </si>
  <si>
    <t>/export/home/npmntwb/Oracle/Middleware/Oracle_Home/wlserver/server/lib/debugpatch-agent.jar</t>
  </si>
  <si>
    <t>/export/home/npmntwb/Oracle/Middleware/Oracle_Home/wlserver/server</t>
  </si>
  <si>
    <t>t3://skmweb2x0an01:7401</t>
  </si>
  <si>
    <t>/var/npmaintweblogic/logs/gc202202211148.log</t>
  </si>
  <si>
    <t>/export/home/museadmin/Oracle/Middleware/Oracle_Home/wlserver/server/lib/debugpatch-agent.jar</t>
  </si>
  <si>
    <t>/export/home/museadmin/Oracle/Middleware/Oracle_Home/wlserver/server</t>
  </si>
  <si>
    <t>t3://skmweb2x0an01:7001</t>
  </si>
  <si>
    <t>/var/weblogic/logs/gc202202211148.log</t>
  </si>
  <si>
    <t>java.compiler</t>
  </si>
  <si>
    <t>NONE</t>
  </si>
  <si>
    <t>java.security.policy</t>
  </si>
  <si>
    <t>/export/home/npmufgwb/Oracle/Middleware/Oracle_Home/wlserver/server/lib/weblogic.policy</t>
  </si>
  <si>
    <t>/export/home/npmufgwb/Oracle/Middleware/Oracle_Home/wlserver/server/lib/debugpatch-agent.jar</t>
  </si>
  <si>
    <t>launch.use.env.classpath</t>
  </si>
  <si>
    <t>ManagedFlg</t>
  </si>
  <si>
    <t>np2d.cr.mufg</t>
  </si>
  <si>
    <t>PROPERTIESFILE</t>
  </si>
  <si>
    <t>/export/home/npmufgwb/npmufgweb2/connect/connect_war/WEB-INF/classes/System.properties</t>
  </si>
  <si>
    <t>sun.nio.cs.map</t>
  </si>
  <si>
    <t>x-windows-iso2022jp/ISO-2022-JP</t>
  </si>
  <si>
    <t>/export/home/npmufgwb/Oracle/Middleware/Oracle_Home/wlserver/server</t>
  </si>
  <si>
    <t>https://skmweb2x0at01:8310</t>
  </si>
  <si>
    <t>weblogic.Name</t>
  </si>
  <si>
    <t>npmufgserver</t>
  </si>
  <si>
    <t>Xdebug</t>
  </si>
  <si>
    <t>/var/npmufgweblogic2/logs/gc202202021527.log</t>
  </si>
  <si>
    <t>Xnoagent</t>
  </si>
  <si>
    <t>Xrunjdwp</t>
  </si>
  <si>
    <t>transport=dt_socket,server=y,suspend=n,address=5310</t>
  </si>
  <si>
    <t>XX</t>
  </si>
  <si>
    <t xml:space="preserve"> +PrintGCDetails</t>
  </si>
  <si>
    <t xml:space="preserve"> +PrintGCTimeStamps</t>
  </si>
  <si>
    <t>t3://skmweb2x0at01:7301</t>
  </si>
  <si>
    <t>/var/npmufgweblogic1/logs/gc202202021456.log</t>
  </si>
  <si>
    <t>np2n.cr.mufg</t>
  </si>
  <si>
    <t>/export/home/npmufgwb/npmufgweb3/connect/connect_war/WEB-INF/classes/System.properties</t>
  </si>
  <si>
    <t>https://skmweb2x0at01:8320</t>
  </si>
  <si>
    <t>/var/npmufgweblogic3/logs/gc202202020827.log</t>
  </si>
  <si>
    <t>transport=dt_socket,server=y,suspend=n,address=5320</t>
  </si>
  <si>
    <t>_FgwServer</t>
  </si>
  <si>
    <t>bea.home</t>
  </si>
  <si>
    <t>/opt/Oracle/Middleware</t>
  </si>
  <si>
    <t>blut.property.file</t>
  </si>
  <si>
    <t>/WLC/fepgw/properties/wls/WlcFgwWebLogic.properties</t>
  </si>
  <si>
    <t>java.endorsed.dirs</t>
  </si>
  <si>
    <t>/opt/Oracle/Middleware/wlserver/endorsed</t>
  </si>
  <si>
    <t>/lib/weblogic.policy</t>
  </si>
  <si>
    <t>weblogic.Domain</t>
  </si>
  <si>
    <t>FgwDomain</t>
  </si>
  <si>
    <t>weblogic.ListenPort</t>
  </si>
  <si>
    <t>7001</t>
  </si>
  <si>
    <t>weblogic.management.password</t>
  </si>
  <si>
    <t>https://localhost:8001</t>
  </si>
  <si>
    <t>weblogic.management.username</t>
  </si>
  <si>
    <t>system</t>
  </si>
  <si>
    <t>FgwServer</t>
  </si>
  <si>
    <t>weblogic.RootDirectory</t>
  </si>
  <si>
    <t>/WLC/fepgw/weblogic/FgwDomain</t>
  </si>
  <si>
    <t>transport=dt_socket,server=y,suspend=n,address=7003</t>
  </si>
  <si>
    <t>XX:MaxMetaspaceSize</t>
  </si>
  <si>
    <t>XX:MaxNewSize</t>
  </si>
  <si>
    <t>XX:NewSize</t>
  </si>
  <si>
    <t>XX:SurvivorRatio</t>
  </si>
  <si>
    <t>8</t>
  </si>
  <si>
    <t>catalina.base</t>
  </si>
  <si>
    <t>/opt/tomcat1</t>
  </si>
  <si>
    <t>catalina.home</t>
  </si>
  <si>
    <t>ignore.endorsed.dirs</t>
  </si>
  <si>
    <t>java.io.tmpdir</t>
  </si>
  <si>
    <t>/opt/tomcat1/temp</t>
  </si>
  <si>
    <t>java.library.path</t>
  </si>
  <si>
    <t>/opt/mqm/java/lib64</t>
  </si>
  <si>
    <t>java.protocol.handler.pkgs</t>
  </si>
  <si>
    <t>org.apache.catalina.webresources</t>
  </si>
  <si>
    <t>java.util.logging.manager</t>
  </si>
  <si>
    <t>org.apache.juli.ClassLoaderLogManager</t>
  </si>
  <si>
    <t>jdk.tls.ephemeralDHKeySize</t>
  </si>
  <si>
    <t>org.apache.catalina.security.SecurityListener.UMASK</t>
  </si>
  <si>
    <t>0027</t>
  </si>
  <si>
    <t>/opt/tomcat2</t>
  </si>
  <si>
    <t>/opt/tomcat2/temp</t>
  </si>
  <si>
    <t>/opt/tomcat3</t>
  </si>
  <si>
    <t>/opt/tomcat3/temp</t>
  </si>
  <si>
    <t>Types of Properties</t>
  </si>
  <si>
    <t>Locations of Properties</t>
  </si>
  <si>
    <t>appdynamics.ip.addresses</t>
  </si>
  <si>
    <t>10.240.12.5</t>
  </si>
  <si>
    <t>appdynamics.log4j2.disable.jmx</t>
  </si>
  <si>
    <t>awt.toolkit</t>
  </si>
  <si>
    <t>sun.awt.X11.XToolkit</t>
  </si>
  <si>
    <t>file.encoding</t>
  </si>
  <si>
    <t>UTF-8</t>
  </si>
  <si>
    <t>file.encoding.pkg</t>
  </si>
  <si>
    <t>sun.io</t>
  </si>
  <si>
    <t>file.separator</t>
  </si>
  <si>
    <t>/</t>
  </si>
  <si>
    <t>java.awt.graphicsenv</t>
  </si>
  <si>
    <t>sun.awt.X11GraphicsEnvironment</t>
  </si>
  <si>
    <t>java.awt.printerjob</t>
  </si>
  <si>
    <t>sun.print.PSPrinterJob</t>
  </si>
  <si>
    <t>java.class.path</t>
  </si>
  <si>
    <t>java.class.version</t>
  </si>
  <si>
    <t>/usr/java/jdk1.8.0_271-amd64/jre/lib/endorsed</t>
  </si>
  <si>
    <t>java.ext.dirs</t>
  </si>
  <si>
    <t>/usr/java/jdk1.8.0_271-amd64/jre/lib/ext:/usr/java/packages/lib/ext</t>
  </si>
  <si>
    <t>java.home</t>
  </si>
  <si>
    <t>/tmp</t>
  </si>
  <si>
    <t>::/export/home/mufgadm/Oracle/Middleware/Oracle_Home/wlserver/server/native/linux/x86_64:/export/home/mufgadm/Oracle/Middleware/Oracle_Home/wlserver/server/native/linux/x86_64/oci920_8:/usr/java/packages/lib/amd64:/usr/lib64:/lib64:/lib:/usr/lib</t>
  </si>
  <si>
    <t>java.runtime.name</t>
  </si>
  <si>
    <t>java.runtime.version</t>
  </si>
  <si>
    <t>java.specification.name</t>
  </si>
  <si>
    <t>Java Platform API Specification</t>
  </si>
  <si>
    <t>java.specification.vendor</t>
  </si>
  <si>
    <t>java.specification.version</t>
  </si>
  <si>
    <t>1.8</t>
  </si>
  <si>
    <t>java.vendor</t>
  </si>
  <si>
    <t>java.vendor.url</t>
  </si>
  <si>
    <t>http://java.oracle.com/</t>
  </si>
  <si>
    <t>java.vendor.url.bug</t>
  </si>
  <si>
    <t>http://bugreport.sun.com/bugreport/</t>
  </si>
  <si>
    <t>java.version</t>
  </si>
  <si>
    <t>java.vm.info</t>
  </si>
  <si>
    <t>java.vm.name</t>
  </si>
  <si>
    <t>java.vm.specification.name</t>
  </si>
  <si>
    <t>Java Virtual Machine Specification</t>
  </si>
  <si>
    <t>java.vm.specification.vendor</t>
  </si>
  <si>
    <t>java.vm.specification.version</t>
  </si>
  <si>
    <t>java.vm.vendor</t>
  </si>
  <si>
    <t>java.vm.version</t>
  </si>
  <si>
    <t>javax.xml.parsers.DocumentBuilderFactory</t>
  </si>
  <si>
    <t>org.apache.xerces.jaxp.DocumentBuilderFactoryImpl</t>
  </si>
  <si>
    <t>line.separator</t>
  </si>
  <si>
    <t xml:space="preserve">
</t>
  </si>
  <si>
    <t>org.apache.commons.logging.LogFactory</t>
  </si>
  <si>
    <t>org.apache.logging.log4j.jcl.LogFactoryImpl</t>
  </si>
  <si>
    <t>os.arch</t>
  </si>
  <si>
    <t>os.name</t>
  </si>
  <si>
    <t>os.version</t>
  </si>
  <si>
    <t>path.separator</t>
  </si>
  <si>
    <t>:</t>
  </si>
  <si>
    <t>ProcessID</t>
  </si>
  <si>
    <t>4493</t>
  </si>
  <si>
    <t>sun.arch.data.model</t>
  </si>
  <si>
    <t>64</t>
  </si>
  <si>
    <t>sun.boot.class.path</t>
  </si>
  <si>
    <t>/usr/java/jdk1.8.0_271-amd64/jre/lib/resources.jar:/usr/java/jdk1.8.0_271-amd64/jre/lib/rt.jar:/usr/java/jdk1.8.0_271-amd64/jre/lib/sunrsasign.jar:/usr/java/jdk1.8.0_271-amd64/jre/lib/jsse.jar:/usr/java/jdk1.8.0_271-amd64/jre/lib/jce.jar:/usr/java/jdk1.8.0_271-amd64/jre/lib/charsets.jar:/usr/java/jdk1.8.0_271-amd64/jre/lib/jfr.jar:/usr/java/jdk1.8.0_271-amd64/jre/classes:/opt/appdynamics/javaAgent/javaagent.jar</t>
  </si>
  <si>
    <t>sun.boot.library.path</t>
  </si>
  <si>
    <t>/usr/java/jdk1.8.0_271-amd64/jre/lib/amd64</t>
  </si>
  <si>
    <t>sun.cpu.endian</t>
  </si>
  <si>
    <t>little</t>
  </si>
  <si>
    <t>sun.cpu.isalist</t>
  </si>
  <si>
    <t>sun.io.unicode.encoding</t>
  </si>
  <si>
    <t>UnicodeLittle</t>
  </si>
  <si>
    <t>sun.java.command</t>
  </si>
  <si>
    <t>weblogic.WLST shutdown-mufgserver.py</t>
  </si>
  <si>
    <t>sun.java.launcher</t>
  </si>
  <si>
    <t>SUN_STANDARD</t>
  </si>
  <si>
    <t>sun.jnu.encoding</t>
  </si>
  <si>
    <t>sun.management.compiler</t>
  </si>
  <si>
    <t>HotSpot 64-Bit Tiered Compilers</t>
  </si>
  <si>
    <t>sun.os.patch.level</t>
  </si>
  <si>
    <t>unknown</t>
  </si>
  <si>
    <t>supportsDevMode</t>
  </si>
  <si>
    <t>user.country</t>
  </si>
  <si>
    <t>JP</t>
  </si>
  <si>
    <t>user.dir</t>
  </si>
  <si>
    <t>/export/home/mufgadm/mufgdomain1</t>
  </si>
  <si>
    <t>user.home</t>
  </si>
  <si>
    <t>/export/home/mufgadm</t>
  </si>
  <si>
    <t>user.language</t>
  </si>
  <si>
    <t>ja</t>
  </si>
  <si>
    <t>user.name</t>
  </si>
  <si>
    <t>user.timezone</t>
  </si>
  <si>
    <t>Asia/Tokyo</t>
  </si>
  <si>
    <t>4826</t>
  </si>
  <si>
    <t>/export/home/mufgadm/mufgdomain2</t>
  </si>
  <si>
    <t>10.240.12.6</t>
  </si>
  <si>
    <t>::/export/home/crmufgwb/Oracle/Middleware/Oracle_Home/wlserver/server/native/linux/x86_64:/export/home/crmufgwb/Oracle/Middleware/Oracle_Home/wlserver/server/native/linux/x86_64/oci920_8:/usr/java/packages/lib/amd64:/usr/lib64:/lib64:/lib:/usr/lib</t>
  </si>
  <si>
    <t>2599</t>
  </si>
  <si>
    <t>weblogic.WLST shutdown-crmufgserver.py</t>
  </si>
  <si>
    <t>/export/home/crmufgwb/crmufgdomain</t>
  </si>
  <si>
    <t>/export/home/crmufgwb</t>
  </si>
  <si>
    <t>::/export/home/npmntwb/Oracle/Middleware/Oracle_Home/wlserver/server/native/linux/x86_64:/export/home/npmntwb/Oracle/Middleware/Oracle_Home/wlserver/server/native/linux/x86_64/oci920_8:/usr/java/packages/lib/amd64:/usr/lib64:/lib64:/lib:/usr/lib</t>
  </si>
  <si>
    <t>3189</t>
  </si>
  <si>
    <t>weblogic.WLST shutdown-npmaintserver.py</t>
  </si>
  <si>
    <t>/export/home/npmntwb/npmaintdomain</t>
  </si>
  <si>
    <t>/export/home/npmntwb</t>
  </si>
  <si>
    <t>::/export/home/museadmin/Oracle/Middleware/Oracle_Home/wlserver/server/native/linux/x86_64:/export/home/museadmin/Oracle/Middleware/Oracle_Home/wlserver/server/native/linux/x86_64/oci920_8:/usr/java/packages/lib/amd64:/usr/lib64:/lib64:/lib:/usr/lib</t>
  </si>
  <si>
    <t>2892</t>
  </si>
  <si>
    <t>weblogic.WLST shutdown-museserver.py</t>
  </si>
  <si>
    <t>/export/home/museadmin/musedomain</t>
  </si>
  <si>
    <t>/export/home/museadmin</t>
  </si>
  <si>
    <t>10.240.12.7</t>
  </si>
  <si>
    <t>::/export/home/npmufgwb/Oracle/Middleware/Oracle_Home/wlserver/server/native/linux/x86_64:/export/home/npmufgwb/Oracle/Middleware/Oracle_Home/wlserver/server/native/linux/x86_64/oci920_8:/usr/java/packages/lib/amd64:/usr/lib64:/lib64:/lib:/usr/lib</t>
  </si>
  <si>
    <t>23174</t>
  </si>
  <si>
    <t>weblogic.Server</t>
  </si>
  <si>
    <t>/export/home/npmufgwb/npmufgdomain2</t>
  </si>
  <si>
    <t>/export/home/npmufgwb</t>
  </si>
  <si>
    <t>7784</t>
  </si>
  <si>
    <t>weblogic.WLST shutdown-npmufgserver.py</t>
  </si>
  <si>
    <t>/export/home/npmufgwb/npmufgdomain1</t>
  </si>
  <si>
    <t>14350</t>
  </si>
  <si>
    <t>/export/home/npmufgwb/npmufgdomain3</t>
  </si>
  <si>
    <t>10.240.12.11</t>
  </si>
  <si>
    <t>.:/usr/lib:/WLC/fepgw/lib:/WLC/fepgw/lib/bean:/opt/Oracle/Middleware/wlserver/server/native/linux/x86_64:/usr/java/packages/lib/amd64:/usr/lib64:/lib64:/lib:/usr/lib</t>
  </si>
  <si>
    <t>3666</t>
  </si>
  <si>
    <t>/home/ipjadmin</t>
  </si>
  <si>
    <t>10.240.12.9</t>
  </si>
  <si>
    <t>15769</t>
  </si>
  <si>
    <t>org.apache.catalina.startup.Bootstrap stop</t>
  </si>
  <si>
    <t>/home/tomcat</t>
  </si>
  <si>
    <t>16465</t>
  </si>
  <si>
    <t>16955</t>
  </si>
  <si>
    <t>_</t>
  </si>
  <si>
    <t>/usr/java/jdk1.8.0_271-amd64/bin/java</t>
  </si>
  <si>
    <t>ADD_ADMIN_URL_TO_CLUSTER_PROP</t>
  </si>
  <si>
    <t>ADMIN_URL</t>
  </si>
  <si>
    <t>ANT_CONTRIB</t>
  </si>
  <si>
    <t>/export/home/mufgadm/Oracle/Middleware/Oracle_Home/wlserver/../oracle_common/modules/thirdparty</t>
  </si>
  <si>
    <t>ANT_HOME</t>
  </si>
  <si>
    <t>/export/home/mufgadm/Oracle/Middleware/Oracle_Home/wlserver/../oracle_common/modules/thirdparty/org.apache.ant/1.10.5.0.0/apache-ant-1.10.5</t>
  </si>
  <si>
    <t>APPCDS_ARCHIVE</t>
  </si>
  <si>
    <t>/export/home/mufgadm/mufgdomain1/WebLogic.jsa</t>
  </si>
  <si>
    <t>APPCDS_CLASS_LIST</t>
  </si>
  <si>
    <t>/export/home/mufgadm/mufgdomain1/WebLogic.classlist</t>
  </si>
  <si>
    <t>BEA_HOME</t>
  </si>
  <si>
    <t>/export/home/mufgadm/Oracle/Middleware/Oracle_Home/wlserver/..</t>
  </si>
  <si>
    <t>BEA_JAVA_HOME</t>
  </si>
  <si>
    <t>@DEFAULT_BEA_JAVA_HOME</t>
  </si>
  <si>
    <t>CAM_NODEMANAGER_JAR_PATH</t>
  </si>
  <si>
    <t>/export/home/mufgadm/Oracle/Middleware/Oracle_Home/wlserver/modules/features/oracle.wls.common.nodemanager.jar</t>
  </si>
  <si>
    <t>CLASSPATH</t>
  </si>
  <si>
    <t>/usr/java/jdk1.8.0_271-amd64/lib/tools.jar:/export/home/mufgadm/Oracle/Middleware/Oracle_Home/wlserver/server/lib/weblogic.jar:/export/home/mufgadm/Oracle/Middleware/Oracle_Home/wlserver/../oracle_common/modules/thirdparty/ant-contrib-1.0b3.jar:/export/home/mufgadm/Oracle/Middleware/Oracle_Home/wlserver/modules/features/oracle.wls.common.nodemanager.jar::/export/home/mufgadm/Oracle/Middleware/Oracle_Home/wlserver/common/derby/lib/derbynet.jar:/export/home/mufgadm/Oracle/Middleware/Oracle_Home/wlserver/common/derby/lib/derbyclient.jar:/export/home/mufgadm/Oracle/Middleware/Oracle_Home/wlserver/common/derby/lib/derby.jar</t>
  </si>
  <si>
    <t>CLASSPATHSEP</t>
  </si>
  <si>
    <t>CLUSTER_PROPERTIES</t>
  </si>
  <si>
    <t>-Dweblogic.management.server=t3://skmweb2x0am01:7101</t>
  </si>
  <si>
    <t>COHERENCE_HOME</t>
  </si>
  <si>
    <t>/export/home/mufgadm/Oracle/Middleware/Oracle_Home/wlserver/../coherence</t>
  </si>
  <si>
    <t>DATABASE_CLASSPATH</t>
  </si>
  <si>
    <t>:/export/home/mufgadm/Oracle/Middleware/Oracle_Home/wlserver/common/derby/lib/derbynet.jar:/export/home/mufgadm/Oracle/Middleware/Oracle_Home/wlserver/common/derby/lib/derbyclient.jar:/export/home/mufgadm/Oracle/Middleware/Oracle_Home/wlserver/common/derby/lib/derby.jar</t>
  </si>
  <si>
    <t>DEBUG_PORT</t>
  </si>
  <si>
    <t>8453</t>
  </si>
  <si>
    <t>debugFlag</t>
  </si>
  <si>
    <t>false</t>
  </si>
  <si>
    <t>debugpatchAgent</t>
  </si>
  <si>
    <t>-javaagent:/export/home/mufgadm/Oracle/Middleware/Oracle_Home/wlserver/server/lib/debugpatch-agent.jar</t>
  </si>
  <si>
    <t>DEFAULT_BEA_JAVA_HOME</t>
  </si>
  <si>
    <t>DEFAULT_SUN_JAVA_HOME</t>
  </si>
  <si>
    <t>/usr/java/jdk1.8.0_271-amd64</t>
  </si>
  <si>
    <t>DERBY_CLASSPATH</t>
  </si>
  <si>
    <t>DERBY_FLAG</t>
  </si>
  <si>
    <t>DERBY_HOME</t>
  </si>
  <si>
    <t>/export/home/mufgadm/Oracle/Middleware/Oracle_Home/wlserver/common/derby</t>
  </si>
  <si>
    <t>DERBY_OPTS</t>
  </si>
  <si>
    <t>-Dderby.system.home=/export/home/mufgadm/mufgdomain1/common/db</t>
  </si>
  <si>
    <t>DERBY_SYSTEM_HOME</t>
  </si>
  <si>
    <t>/export/home/mufgadm/mufgdomain1/common/db</t>
  </si>
  <si>
    <t>DERBY_TOOLS</t>
  </si>
  <si>
    <t>/export/home/mufgadm/Oracle/Middleware/Oracle_Home/wlserver/common/derby/lib/derbytools.jar</t>
  </si>
  <si>
    <t>doExitFlag</t>
  </si>
  <si>
    <t>DOMAIN_HOME</t>
  </si>
  <si>
    <t>enableHotswapFlag</t>
  </si>
  <si>
    <t>FEATURES_DIR</t>
  </si>
  <si>
    <t>/export/home/mufgadm/Oracle/Middleware/Oracle_Home/wlserver/../oracle_common/modules/features</t>
  </si>
  <si>
    <t>FMWCONFIG_CLASSPATH</t>
  </si>
  <si>
    <t>/usr/java/jdk1.8.0_271-amd64/lib/tools.jar:/export/home/mufgadm/Oracle/Middleware/Oracle_Home/wlserver/modules/features/wlst.wls.classpath.jar</t>
  </si>
  <si>
    <t>FMWLAUNCH_CLASSPATH</t>
  </si>
  <si>
    <t>/export/home/mufgadm/Oracle/Middleware/Oracle_Home/wlserver/../oracle_common/modules/features/cieCfg_wls_lib.jar</t>
  </si>
  <si>
    <t>HISTCONTROL</t>
  </si>
  <si>
    <t>ignoredups</t>
  </si>
  <si>
    <t>HISTSIZE</t>
  </si>
  <si>
    <t>1000</t>
  </si>
  <si>
    <t>HOME</t>
  </si>
  <si>
    <t>HOSTNAME</t>
  </si>
  <si>
    <t>http_proxy</t>
  </si>
  <si>
    <t>http://nkcaws1d0lb01.ext1.cr.mufg.jp:3128</t>
  </si>
  <si>
    <t>https_proxy</t>
  </si>
  <si>
    <t>JAVA_DEBUG</t>
  </si>
  <si>
    <t>JAVA_HOME</t>
  </si>
  <si>
    <t>JAVA_OPTIONS</t>
  </si>
  <si>
    <t xml:space="preserve"> -Dweblogic.ProductionModeEnabled=true  -Djava.system.class.loader=com.oracle.classloader.weblogic.LaunchClassLoader  -javaagent:/export/home/mufgadm/Oracle/Middleware/Oracle_Home/wlserver/server/lib/debugpatch-agent.jar -da -Dwls.home=/export/home/mufgadm/Oracle/Middleware/Oracle_Home/wlserver/server -Dweblogic.home=/export/home/mufgadm/Oracle/Middleware/Oracle_Home/wlserver/server   -Dweblogic.management.server=t3://skmweb2x0am01:7101  -javaagent:/opt/appdynamics/javaAgent/javaagent.jar -Dappdynamics.agent.applicationName=MWEB -Dappdynamics.agent.tierName=skmweb2x0am-MUFGWebService -Dappdynamics.agent.nodeName=skmweb2x0am01-1 -Xloggc:/var/mufgweblogic1/logs/gc202202182234.log -Dweblogic.security.SSL.trustedCAKeyStore=/export/home/mufgadm/Oracle/Middleware/Oracle_Home/keystores/mufgkeystore.jks -Dweblogic.security.SSL.ignoreHostnameVerification=true</t>
  </si>
  <si>
    <t>JAVA_PROFILE</t>
  </si>
  <si>
    <t>JAVA_PROPERTIES</t>
  </si>
  <si>
    <t xml:space="preserve">-Dwls.home=/export/home/mufgadm/Oracle/Middleware/Oracle_Home/wlserver/server -Dweblogic.home=/export/home/mufgadm/Oracle/Middleware/Oracle_Home/wlserver/server   -Dweblogic.management.server=t3://skmweb2x0am01:7101 </t>
  </si>
  <si>
    <t>JAVA_STARTUP_PROPERTIES</t>
  </si>
  <si>
    <t>JAVA_USE_64BIT</t>
  </si>
  <si>
    <t>JAVA_VENDOR</t>
  </si>
  <si>
    <t>Oracle</t>
  </si>
  <si>
    <t>JAVA_VM</t>
  </si>
  <si>
    <t xml:space="preserve">-server  </t>
  </si>
  <si>
    <t>JRE_HOME</t>
  </si>
  <si>
    <t>LANG</t>
  </si>
  <si>
    <t>ja_JP.UTF-8</t>
  </si>
  <si>
    <t>LD_LIBRARY_PATH</t>
  </si>
  <si>
    <t>::/export/home/mufgadm/Oracle/Middleware/Oracle_Home/wlserver/server/native/linux/x86_64:/export/home/mufgadm/Oracle/Middleware/Oracle_Home/wlserver/server/native/linux/x86_64/oci920_8</t>
  </si>
  <si>
    <t>LESSOPEN</t>
  </si>
  <si>
    <t>||/usr/bin/lesspipe.sh %s</t>
  </si>
  <si>
    <t>local_debug</t>
  </si>
  <si>
    <t>LOGNAME</t>
  </si>
  <si>
    <t>LONG_DOMAIN_HOME</t>
  </si>
  <si>
    <t>MAIL</t>
  </si>
  <si>
    <t>/var/spool/mail/mufgadm</t>
  </si>
  <si>
    <t>MEM_ARGS</t>
  </si>
  <si>
    <t xml:space="preserve">-Xms1024m -Xmx1024m </t>
  </si>
  <si>
    <t>MEM_DEV_ARGS</t>
  </si>
  <si>
    <t>MODULES_DIR</t>
  </si>
  <si>
    <t>/export/home/mufgadm/Oracle/Middleware/Oracle_Home/wlserver/../oracle_common/modules</t>
  </si>
  <si>
    <t>MW_HOME</t>
  </si>
  <si>
    <t>no_proxy</t>
  </si>
  <si>
    <t>localhost,127.0.0.1,.ext1.cr.mufg.jp,169.254.169.254,cloudtrail.ap-northeast-1.amazonaws.com,events.ap-northeast-1.amazonaws.com,logs.ap-northeast-1.amazonaws.com,monitoring.ap-northeast-1.amazonaws.com,ec2.ap-northeast-1.amazonaws.com,elasticloadbalancing.ap-northeast-1.amazonaws.com,sns.ap-northeast-1.amazonaws.com,sqs.ap-northeast-1.amazonaws.com,ap-northeast-1.queue.amazonaws.com,s3-ap-northeast-1.amazonaws.com,s3.ap-northeast-1.amazonaws.com,ssm.ap-northeast-1.amazonaws.com,ec2messages.ap-northeast-1.amazonaws.com,autoscaling.ap-northeast-1.amazonaws.com</t>
  </si>
  <si>
    <t>OLDPWD</t>
  </si>
  <si>
    <t>PATH</t>
  </si>
  <si>
    <t>/export/home/mufgadm/mufgdomain1/bin:/export/home/mufgadm/Oracle/Middleware/Oracle_Home/wlserver/server/bin:/export/home/mufgadm/Oracle/Middleware/Oracle_Home/wlserver/../oracle_common/modules/thirdparty/org.apache.ant/1.10.5.0.0/apache-ant-1.10.5/bin:/usr/java/jdk1.8.0_271-amd64/jre/bin:/usr/java/jdk1.8.0_271-amd64/bin:/usr/local/bin:/bin:/usr/bin:/usr/local/sbin:/usr/sbin:/export/home/mufgadm/.local/bin:/export/home/mufgadm/bin</t>
  </si>
  <si>
    <t>PATHSEP</t>
  </si>
  <si>
    <t>POST_CLASSPATH</t>
  </si>
  <si>
    <t>PRODUCTION_MODE</t>
  </si>
  <si>
    <t>PROFILE_CLASSPATH</t>
  </si>
  <si>
    <t>/export/home/mufgadm/Oracle/Middleware/Oracle_Home/wlserver/server/lib/weblogic.jar</t>
  </si>
  <si>
    <t>PWD</t>
  </si>
  <si>
    <t>SAMPLES_HOME</t>
  </si>
  <si>
    <t>/export/home/mufgadm/Oracle/Middleware/Oracle_Home/wlserver/samples</t>
  </si>
  <si>
    <t>SECURITY_JVM_ARGS</t>
  </si>
  <si>
    <t>-Dweblogic.alternateTypesDirectory='/export/home/mufgadm/Oracle/Middleware/Oracle_Home/wlserver/..'/oracle_common/modules/oracle.oamprovider,'/export/home/mufgadm/Oracle/Middleware/Oracle_Home/wlserver/..'/oracle_common/modules/oracle.jps</t>
  </si>
  <si>
    <t>SERVER_CLASS</t>
  </si>
  <si>
    <t>SERVER_NAME</t>
  </si>
  <si>
    <t>mufgserver</t>
  </si>
  <si>
    <t>SHELL</t>
  </si>
  <si>
    <t>/bin/bash</t>
  </si>
  <si>
    <t>SHLVL</t>
  </si>
  <si>
    <t>4</t>
  </si>
  <si>
    <t>stopFlag</t>
  </si>
  <si>
    <t>SUN_JAVA_HOME</t>
  </si>
  <si>
    <t>TERM</t>
  </si>
  <si>
    <t>xterm</t>
  </si>
  <si>
    <t>TMOUT</t>
  </si>
  <si>
    <t>900</t>
  </si>
  <si>
    <t>USER</t>
  </si>
  <si>
    <t>UTILS_MEM_ARGS</t>
  </si>
  <si>
    <t>-Xms32m -Xmx1024m</t>
  </si>
  <si>
    <t>verboseLoggingFlag</t>
  </si>
  <si>
    <t>VM_TYPE</t>
  </si>
  <si>
    <t>HotSpot</t>
  </si>
  <si>
    <t>WEBLOGIC_CLASSPATH</t>
  </si>
  <si>
    <t>/usr/java/jdk1.8.0_271-amd64/lib/tools.jar:/export/home/mufgadm/Oracle/Middleware/Oracle_Home/wlserver/server/lib/weblogic.jar:/export/home/mufgadm/Oracle/Middleware/Oracle_Home/wlserver/../oracle_common/modules/thirdparty/ant-contrib-1.0b3.jar:/export/home/mufgadm/Oracle/Middleware/Oracle_Home/wlserver/modules/features/oracle.wls.common.nodemanager.jar</t>
  </si>
  <si>
    <t>WL_HOME</t>
  </si>
  <si>
    <t>/export/home/mufgadm/Oracle/Middleware/Oracle_Home/wlserver</t>
  </si>
  <si>
    <t>WLS_HOME</t>
  </si>
  <si>
    <t>WLS_POLICY_FILE</t>
  </si>
  <si>
    <t>/export/home/mufgadm/Oracle/Middleware/Oracle_Home/wlserver/server/lib/weblogic.policy</t>
  </si>
  <si>
    <t>XDG_SESSION_ID</t>
  </si>
  <si>
    <t>36</t>
  </si>
  <si>
    <t>/export/home/mufgadm/mufgdomain2/WebLogic.jsa</t>
  </si>
  <si>
    <t>/export/home/mufgadm/mufgdomain2/WebLogic.classlist</t>
  </si>
  <si>
    <t>-Dweblogic.management.server=t3://skmweb2x0am01:7110</t>
  </si>
  <si>
    <t>-Dderby.system.home=/export/home/mufgadm/mufgdomain2/common/db</t>
  </si>
  <si>
    <t>/export/home/mufgadm/mufgdomain2/common/db</t>
  </si>
  <si>
    <t xml:space="preserve"> -Dweblogic.ProductionModeEnabled=true  -Djava.system.class.loader=com.oracle.classloader.weblogic.LaunchClassLoader  -javaagent:/export/home/mufgadm/Oracle/Middleware/Oracle_Home/wlserver/server/lib/debugpatch-agent.jar -da -Dwls.home=/export/home/mufgadm/Oracle/Middleware/Oracle_Home/wlserver/server -Dweblogic.home=/export/home/mufgadm/Oracle/Middleware/Oracle_Home/wlserver/server   -Dweblogic.management.server=t3://skmweb2x0am01:7110  -javaagent:/opt/appdynamics/javaAgent/javaagent.jar -Dappdynamics.agent.applicationName=MWEB -Dappdynamics.agent.tierName=skmweb2x0am-MUFGWebService -Dappdynamics.agent.nodeName=skmweb2x0am01-2 -Xloggc:/var/mufgweblogic2/logs/gc202202182234.log -Dweblogic.security.SSL.trustedCAKeyStore=/export/home/mufgadm/Oracle/Middleware/Oracle_Home/keystores/mufgkeystore.jks -Dweblogic.security.SSL.ignoreHostnameVerification=true</t>
  </si>
  <si>
    <t xml:space="preserve">-Dwls.home=/export/home/mufgadm/Oracle/Middleware/Oracle_Home/wlserver/server -Dweblogic.home=/export/home/mufgadm/Oracle/Middleware/Oracle_Home/wlserver/server   -Dweblogic.management.server=t3://skmweb2x0am01:7110 </t>
  </si>
  <si>
    <t>/export/home/mufgadm/mufgdomain2/bin:/export/home/mufgadm/Oracle/Middleware/Oracle_Home/wlserver/server/bin:/export/home/mufgadm/Oracle/Middleware/Oracle_Home/wlserver/../oracle_common/modules/thirdparty/org.apache.ant/1.10.5.0.0/apache-ant-1.10.5/bin:/usr/java/jdk1.8.0_271-amd64/jre/bin:/usr/java/jdk1.8.0_271-amd64/bin:/usr/local/bin:/bin:/usr/bin:/usr/local/sbin:/usr/sbin:/export/home/mufgadm/.local/bin:/export/home/mufgadm/bin</t>
  </si>
  <si>
    <t>/export/home/crmufgwb/Oracle/Middleware/Oracle_Home/wlserver/../oracle_common/modules/thirdparty</t>
  </si>
  <si>
    <t>/export/home/crmufgwb/Oracle/Middleware/Oracle_Home/wlserver/../oracle_common/modules/thirdparty/org.apache.ant/1.10.5.0.0/apache-ant-1.10.5</t>
  </si>
  <si>
    <t>/export/home/crmufgwb/crmufgdomain/WebLogic.jsa</t>
  </si>
  <si>
    <t>/export/home/crmufgwb/crmufgdomain/WebLogic.classlist</t>
  </si>
  <si>
    <t>/export/home/crmufgwb/Oracle/Middleware/Oracle_Home/wlserver/..</t>
  </si>
  <si>
    <t>/export/home/crmufgwb/Oracle/Middleware/Oracle_Home/wlserver/modules/features/oracle.wls.common.nodemanager.jar</t>
  </si>
  <si>
    <t>/usr/java/jdk1.8.0_271-amd64/lib/tools.jar:/export/home/crmufgwb/Oracle/Middleware/Oracle_Home/wlserver/server/lib/weblogic.jar:/export/home/crmufgwb/Oracle/Middleware/Oracle_Home/wlserver/../oracle_common/modules/thirdparty/ant-contrib-1.0b3.jar:/export/home/crmufgwb/Oracle/Middleware/Oracle_Home/wlserver/modules/features/oracle.wls.common.nodemanager.jar::/export/home/crmufgwb/Oracle/Middleware/Oracle_Home/wlserver/common/derby/lib/derbynet.jar:/export/home/crmufgwb/Oracle/Middleware/Oracle_Home/wlserver/common/derby/lib/derbyclient.jar:/export/home/crmufgwb/Oracle/Middleware/Oracle_Home/wlserver/common/derby/lib/derby.jar</t>
  </si>
  <si>
    <t>-Dweblogic.management.server=t3://skmweb2x0an01:7201</t>
  </si>
  <si>
    <t>/export/home/crmufgwb/Oracle/Middleware/Oracle_Home/wlserver/../coherence</t>
  </si>
  <si>
    <t>:/export/home/crmufgwb/Oracle/Middleware/Oracle_Home/wlserver/common/derby/lib/derbynet.jar:/export/home/crmufgwb/Oracle/Middleware/Oracle_Home/wlserver/common/derby/lib/derbyclient.jar:/export/home/crmufgwb/Oracle/Middleware/Oracle_Home/wlserver/common/derby/lib/derby.jar</t>
  </si>
  <si>
    <t>-javaagent:/export/home/crmufgwb/Oracle/Middleware/Oracle_Home/wlserver/server/lib/debugpatch-agent.jar</t>
  </si>
  <si>
    <t>/export/home/crmufgwb/Oracle/Middleware/Oracle_Home/wlserver/common/derby</t>
  </si>
  <si>
    <t>-Dderby.system.home=/export/home/crmufgwb/crmufgdomain/common/db</t>
  </si>
  <si>
    <t>/export/home/crmufgwb/crmufgdomain/common/db</t>
  </si>
  <si>
    <t>/export/home/crmufgwb/Oracle/Middleware/Oracle_Home/wlserver/common/derby/lib/derbytools.jar</t>
  </si>
  <si>
    <t>/export/home/crmufgwb/Oracle/Middleware/Oracle_Home/wlserver/../oracle_common/modules/features</t>
  </si>
  <si>
    <t>/usr/java/jdk1.8.0_271-amd64/lib/tools.jar:/export/home/crmufgwb/Oracle/Middleware/Oracle_Home/wlserver/modules/features/wlst.wls.classpath.jar</t>
  </si>
  <si>
    <t>/export/home/crmufgwb/Oracle/Middleware/Oracle_Home/wlserver/../oracle_common/modules/features/cieCfg_wls_lib.jar</t>
  </si>
  <si>
    <t xml:space="preserve"> -Dweblogic.ProductionModeEnabled=true  -Djava.system.class.loader=com.oracle.classloader.weblogic.LaunchClassLoader  -javaagent:/export/home/crmufgwb/Oracle/Middleware/Oracle_Home/wlserver/server/lib/debugpatch-agent.jar -da -Dwls.home=/export/home/crmufgwb/Oracle/Middleware/Oracle_Home/wlserver/server -Dweblogic.home=/export/home/crmufgwb/Oracle/Middleware/Oracle_Home/wlserver/server   -Dweblogic.management.server=t3://skmweb2x0an01:7201  -javaagent:/opt/appdynamics/javaAgent/javaagent.jar -Dappdynamics.agent.applicationName=MWEB -Dappdynamics.agent.tierName=skmweb2x0an-Nyukai-CR -Dappdynamics.agent.nodeName=skmweb2x0an01-CR -Xloggc:/var/crmufgweblogic/logs/gc202202211147.log -Dweblogic.security.SSL.trustedCAKeyStore=/export/home/crmufgwb/Oracle/Middleware/Oracle_Home/keystores/crmufgkeystore.jks -Dweblogic.security.SSL.ignoreHostnameVerification=true</t>
  </si>
  <si>
    <t xml:space="preserve">-Dwls.home=/export/home/crmufgwb/Oracle/Middleware/Oracle_Home/wlserver/server -Dweblogic.home=/export/home/crmufgwb/Oracle/Middleware/Oracle_Home/wlserver/server   -Dweblogic.management.server=t3://skmweb2x0an01:7201 </t>
  </si>
  <si>
    <t>::/export/home/crmufgwb/Oracle/Middleware/Oracle_Home/wlserver/server/native/linux/x86_64:/export/home/crmufgwb/Oracle/Middleware/Oracle_Home/wlserver/server/native/linux/x86_64/oci920_8</t>
  </si>
  <si>
    <t>/var/spool/mail/crmufgwb</t>
  </si>
  <si>
    <t xml:space="preserve">-Xms256m -Xmx512m </t>
  </si>
  <si>
    <t>MEM_ARGS_32BIT</t>
  </si>
  <si>
    <t>-Xms256m -Xmx512m</t>
  </si>
  <si>
    <t>MEM_ARGS_64BIT</t>
  </si>
  <si>
    <t>/export/home/crmufgwb/Oracle/Middleware/Oracle_Home/wlserver/../oracle_common/modules</t>
  </si>
  <si>
    <t>/export/home/crmufgwb/crmufgdomain/bin:/export/home/crmufgwb/Oracle/Middleware/Oracle_Home/wlserver/server/bin:/export/home/crmufgwb/Oracle/Middleware/Oracle_Home/wlserver/../oracle_common/modules/thirdparty/org.apache.ant/1.10.5.0.0/apache-ant-1.10.5/bin:/usr/java/jdk1.8.0_271-amd64/jre/bin:/usr/java/jdk1.8.0_271-amd64/bin:/usr/local/bin:/bin:/usr/bin:/usr/local/sbin:/usr/sbin:/export/home/crmufgwb/.local/bin:/export/home/crmufgwb/bin</t>
  </si>
  <si>
    <t>/export/home/crmufgwb/Oracle/Middleware/Oracle_Home/wlserver/server/lib/weblogic.jar</t>
  </si>
  <si>
    <t>/export/home/crmufgwb/Oracle/Middleware/Oracle_Home/wlserver/samples</t>
  </si>
  <si>
    <t>-Dweblogic.alternateTypesDirectory='/export/home/crmufgwb/Oracle/Middleware/Oracle_Home/wlserver/..'/oracle_common/modules/oracle.oamprovider,'/export/home/crmufgwb/Oracle/Middleware/Oracle_Home/wlserver/..'/oracle_common/modules/oracle.jps</t>
  </si>
  <si>
    <t>crmufgserver</t>
  </si>
  <si>
    <t>/usr/java/jdk1.8.0_271-amd64/lib/tools.jar:/export/home/crmufgwb/Oracle/Middleware/Oracle_Home/wlserver/server/lib/weblogic.jar:/export/home/crmufgwb/Oracle/Middleware/Oracle_Home/wlserver/../oracle_common/modules/thirdparty/ant-contrib-1.0b3.jar:/export/home/crmufgwb/Oracle/Middleware/Oracle_Home/wlserver/modules/features/oracle.wls.common.nodemanager.jar</t>
  </si>
  <si>
    <t>/export/home/crmufgwb/Oracle/Middleware/Oracle_Home/wlserver</t>
  </si>
  <si>
    <t>WLS_MEM_ARGS_32BIT</t>
  </si>
  <si>
    <t>WLS_MEM_ARGS_64BIT</t>
  </si>
  <si>
    <t>/export/home/crmufgwb/Oracle/Middleware/Oracle_Home/wlserver/server/lib/weblogic.policy</t>
  </si>
  <si>
    <t>1</t>
  </si>
  <si>
    <t>/export/home/npmntwb/Oracle/Middleware/Oracle_Home/wlserver/../oracle_common/modules/thirdparty</t>
  </si>
  <si>
    <t>/export/home/npmntwb/Oracle/Middleware/Oracle_Home/wlserver/../oracle_common/modules/thirdparty/org.apache.ant/1.10.5.0.0/apache-ant-1.10.5</t>
  </si>
  <si>
    <t>/export/home/npmntwb/npmaintdomain/WebLogic.jsa</t>
  </si>
  <si>
    <t>/export/home/npmntwb/npmaintdomain/WebLogic.classlist</t>
  </si>
  <si>
    <t>/export/home/npmntwb/Oracle/Middleware/Oracle_Home/wlserver/..</t>
  </si>
  <si>
    <t>/export/home/npmntwb/Oracle/Middleware/Oracle_Home/wlserver/modules/features/oracle.wls.common.nodemanager.jar</t>
  </si>
  <si>
    <t>/usr/java/jdk1.8.0_271-amd64/lib/tools.jar:/export/home/npmntwb/Oracle/Middleware/Oracle_Home/wlserver/server/lib/weblogic.jar:/export/home/npmntwb/Oracle/Middleware/Oracle_Home/wlserver/../oracle_common/modules/thirdparty/ant-contrib-1.0b3.jar:/export/home/npmntwb/Oracle/Middleware/Oracle_Home/wlserver/modules/features/oracle.wls.common.nodemanager.jar::/export/home/npmntwb/Oracle/Middleware/Oracle_Home/wlserver/common/derby/lib/derbynet.jar:/export/home/npmntwb/Oracle/Middleware/Oracle_Home/wlserver/common/derby/lib/derbyclient.jar:/export/home/npmntwb/Oracle/Middleware/Oracle_Home/wlserver/common/derby/lib/derby.jar</t>
  </si>
  <si>
    <t>-Dweblogic.management.server=t3://skmweb2x0an01:7401</t>
  </si>
  <si>
    <t>/export/home/npmntwb/Oracle/Middleware/Oracle_Home/wlserver/../coherence</t>
  </si>
  <si>
    <t>:/export/home/npmntwb/Oracle/Middleware/Oracle_Home/wlserver/common/derby/lib/derbynet.jar:/export/home/npmntwb/Oracle/Middleware/Oracle_Home/wlserver/common/derby/lib/derbyclient.jar:/export/home/npmntwb/Oracle/Middleware/Oracle_Home/wlserver/common/derby/lib/derby.jar</t>
  </si>
  <si>
    <t>-javaagent:/export/home/npmntwb/Oracle/Middleware/Oracle_Home/wlserver/server/lib/debugpatch-agent.jar</t>
  </si>
  <si>
    <t>/export/home/npmntwb/Oracle/Middleware/Oracle_Home/wlserver/common/derby</t>
  </si>
  <si>
    <t>-Dderby.system.home=/export/home/npmntwb/npmaintdomain/common/db</t>
  </si>
  <si>
    <t>/export/home/npmntwb/npmaintdomain/common/db</t>
  </si>
  <si>
    <t>/export/home/npmntwb/Oracle/Middleware/Oracle_Home/wlserver/common/derby/lib/derbytools.jar</t>
  </si>
  <si>
    <t>/export/home/npmntwb/Oracle/Middleware/Oracle_Home/wlserver/../oracle_common/modules/features</t>
  </si>
  <si>
    <t>/usr/java/jdk1.8.0_271-amd64/lib/tools.jar:/export/home/npmntwb/Oracle/Middleware/Oracle_Home/wlserver/modules/features/wlst.wls.classpath.jar</t>
  </si>
  <si>
    <t>/export/home/npmntwb/Oracle/Middleware/Oracle_Home/wlserver/../oracle_common/modules/features/cieCfg_wls_lib.jar</t>
  </si>
  <si>
    <t xml:space="preserve"> -Dweblogic.ProductionModeEnabled=true  -Djava.system.class.loader=com.oracle.classloader.weblogic.LaunchClassLoader  -javaagent:/export/home/npmntwb/Oracle/Middleware/Oracle_Home/wlserver/server/lib/debugpatch-agent.jar -da -Dwls.home=/export/home/npmntwb/Oracle/Middleware/Oracle_Home/wlserver/server -Dweblogic.home=/export/home/npmntwb/Oracle/Middleware/Oracle_Home/wlserver/server   -Dweblogic.management.server=t3://skmweb2x0an01:7401  -javaagent:/opt/appdynamics/javaAgent/javaagent.jar -Dappdynamics.agent.applicationName=MWEB -Dappdynamics.agent.tierName=skmweb2x0an-Nyukai-MAINT -Dappdynamics.agent.nodeName=skmweb2x0an01-MAINT -Xloggc:/var/npmaintweblogic/logs/gc202202211148.log -Dweblogic.security.SSL.trustedCAKeyStore=/export/home/npmntwb/Oracle/Middleware/Oracle_Home/keystores/npmaintkeystore.jks -Dweblogic.security.SSL.ignoreHostnameVerification=true</t>
  </si>
  <si>
    <t xml:space="preserve">-Dwls.home=/export/home/npmntwb/Oracle/Middleware/Oracle_Home/wlserver/server -Dweblogic.home=/export/home/npmntwb/Oracle/Middleware/Oracle_Home/wlserver/server   -Dweblogic.management.server=t3://skmweb2x0an01:7401 </t>
  </si>
  <si>
    <t>::/export/home/npmntwb/Oracle/Middleware/Oracle_Home/wlserver/server/native/linux/x86_64:/export/home/npmntwb/Oracle/Middleware/Oracle_Home/wlserver/server/native/linux/x86_64/oci920_8</t>
  </si>
  <si>
    <t>/var/spool/mail/npmntwb</t>
  </si>
  <si>
    <t xml:space="preserve">-Xms256m -Xmx256m </t>
  </si>
  <si>
    <t>/export/home/npmntwb/Oracle/Middleware/Oracle_Home/wlserver/../oracle_common/modules</t>
  </si>
  <si>
    <t>/export/home/npmntwb/npmaintdomain/bin:/export/home/npmntwb/Oracle/Middleware/Oracle_Home/wlserver/server/bin:/export/home/npmntwb/Oracle/Middleware/Oracle_Home/wlserver/../oracle_common/modules/thirdparty/org.apache.ant/1.10.5.0.0/apache-ant-1.10.5/bin:/usr/java/jdk1.8.0_271-amd64/jre/bin:/usr/java/jdk1.8.0_271-amd64/bin:/usr/local/bin:/bin:/usr/bin:/usr/local/sbin:/usr/sbin:/export/home/npmntwb/.local/bin:/export/home/npmntwb/bin</t>
  </si>
  <si>
    <t>/export/home/npmntwb/Oracle/Middleware/Oracle_Home/wlserver/server/lib/weblogic.jar</t>
  </si>
  <si>
    <t>/export/home/npmntwb/Oracle/Middleware/Oracle_Home/wlserver/samples</t>
  </si>
  <si>
    <t>-Dweblogic.alternateTypesDirectory='/export/home/npmntwb/Oracle/Middleware/Oracle_Home/wlserver/..'/oracle_common/modules/oracle.oamprovider,'/export/home/npmntwb/Oracle/Middleware/Oracle_Home/wlserver/..'/oracle_common/modules/oracle.jps</t>
  </si>
  <si>
    <t>npmaintserver</t>
  </si>
  <si>
    <t>/usr/java/jdk1.8.0_271-amd64/lib/tools.jar:/export/home/npmntwb/Oracle/Middleware/Oracle_Home/wlserver/server/lib/weblogic.jar:/export/home/npmntwb/Oracle/Middleware/Oracle_Home/wlserver/../oracle_common/modules/thirdparty/ant-contrib-1.0b3.jar:/export/home/npmntwb/Oracle/Middleware/Oracle_Home/wlserver/modules/features/oracle.wls.common.nodemanager.jar</t>
  </si>
  <si>
    <t>/export/home/npmntwb/Oracle/Middleware/Oracle_Home/wlserver</t>
  </si>
  <si>
    <t>/export/home/npmntwb/Oracle/Middleware/Oracle_Home/wlserver/server/lib/weblogic.policy</t>
  </si>
  <si>
    <t>/export/home/museadmin/Oracle/Middleware/Oracle_Home/wlserver/../oracle_common/modules/thirdparty</t>
  </si>
  <si>
    <t>/export/home/museadmin/Oracle/Middleware/Oracle_Home/wlserver/../oracle_common/modules/thirdparty/org.apache.ant/1.10.5.0.0/apache-ant-1.10.5</t>
  </si>
  <si>
    <t>/export/home/museadmin/musedomain/WebLogic.jsa</t>
  </si>
  <si>
    <t>/export/home/museadmin/musedomain/WebLogic.classlist</t>
  </si>
  <si>
    <t>/export/home/museadmin/Oracle/Middleware/Oracle_Home/wlserver/..</t>
  </si>
  <si>
    <t>/export/home/museadmin/Oracle/Middleware/Oracle_Home/wlserver/modules/features/oracle.wls.common.nodemanager.jar</t>
  </si>
  <si>
    <t>/usr/java/jdk1.8.0_271-amd64/lib/tools.jar:/export/home/museadmin/Oracle/Middleware/Oracle_Home/wlserver/server/lib/weblogic.jar:/export/home/museadmin/Oracle/Middleware/Oracle_Home/wlserver/../oracle_common/modules/thirdparty/ant-contrib-1.0b3.jar:/export/home/museadmin/Oracle/Middleware/Oracle_Home/wlserver/modules/features/oracle.wls.common.nodemanager.jar::/export/home/museadmin/Oracle/Middleware/Oracle_Home/wlserver/common/derby/lib/derbynet.jar:/export/home/museadmin/Oracle/Middleware/Oracle_Home/wlserver/common/derby/lib/derbyclient.jar:/export/home/museadmin/Oracle/Middleware/Oracle_Home/wlserver/common/derby/lib/derby.jar</t>
  </si>
  <si>
    <t>-Dweblogic.management.server=t3://skmweb2x0an01:7001</t>
  </si>
  <si>
    <t>/export/home/museadmin/Oracle/Middleware/Oracle_Home/wlserver/../coherence</t>
  </si>
  <si>
    <t>:/export/home/museadmin/Oracle/Middleware/Oracle_Home/wlserver/common/derby/lib/derbynet.jar:/export/home/museadmin/Oracle/Middleware/Oracle_Home/wlserver/common/derby/lib/derbyclient.jar:/export/home/museadmin/Oracle/Middleware/Oracle_Home/wlserver/common/derby/lib/derby.jar</t>
  </si>
  <si>
    <t>-javaagent:/export/home/museadmin/Oracle/Middleware/Oracle_Home/wlserver/server/lib/debugpatch-agent.jar</t>
  </si>
  <si>
    <t>/export/home/museadmin/Oracle/Middleware/Oracle_Home/wlserver/common/derby</t>
  </si>
  <si>
    <t>-Dderby.system.home=/export/home/museadmin/musedomain/common/db</t>
  </si>
  <si>
    <t>/export/home/museadmin/musedomain/common/db</t>
  </si>
  <si>
    <t>/export/home/museadmin/Oracle/Middleware/Oracle_Home/wlserver/common/derby/lib/derbytools.jar</t>
  </si>
  <si>
    <t>/export/home/museadmin/Oracle/Middleware/Oracle_Home/wlserver/../oracle_common/modules/features</t>
  </si>
  <si>
    <t>/usr/java/jdk1.8.0_271-amd64/lib/tools.jar:/export/home/museadmin/Oracle/Middleware/Oracle_Home/wlserver/modules/features/wlst.wls.classpath.jar</t>
  </si>
  <si>
    <t>/export/home/museadmin/Oracle/Middleware/Oracle_Home/wlserver/../oracle_common/modules/features/cieCfg_wls_lib.jar</t>
  </si>
  <si>
    <t xml:space="preserve"> -Dweblogic.ProductionModeEnabled=true  -Djava.system.class.loader=com.oracle.classloader.weblogic.LaunchClassLoader  -javaagent:/export/home/museadmin/Oracle/Middleware/Oracle_Home/wlserver/server/lib/debugpatch-agent.jar -da -Dwls.home=/export/home/museadmin/Oracle/Middleware/Oracle_Home/wlserver/server -Dweblogic.home=/export/home/museadmin/Oracle/Middleware/Oracle_Home/wlserver/server   -Dweblogic.management.server=t3://skmweb2x0an01:7001  -javaagent:/opt/appdynamics/javaAgent/javaagent.jar -Dappdynamics.agent.applicationName=MWEB -Dappdynamics.agent.tierName=skmweb2x0an-Nyukai-UFJC -Dappdynamics.agent.nodeName=skmweb2x0an01-UFJC -Xloggc:/var/weblogic/logs/gc202202211148.log -Dweblogic.security.SSL.trustedCAKeyStore=/export/home/museadmin/Oracle/Middleware/Oracle_Home/keystores/musekeystore.jks -Dweblogic.security.SSL.ignoreHostnameVerification=true</t>
  </si>
  <si>
    <t xml:space="preserve">-Dwls.home=/export/home/museadmin/Oracle/Middleware/Oracle_Home/wlserver/server -Dweblogic.home=/export/home/museadmin/Oracle/Middleware/Oracle_Home/wlserver/server   -Dweblogic.management.server=t3://skmweb2x0an01:7001 </t>
  </si>
  <si>
    <t>::/export/home/museadmin/Oracle/Middleware/Oracle_Home/wlserver/server/native/linux/x86_64:/export/home/museadmin/Oracle/Middleware/Oracle_Home/wlserver/server/native/linux/x86_64/oci920_8</t>
  </si>
  <si>
    <t>/var/spool/mail/museadm</t>
  </si>
  <si>
    <t>/export/home/museadmin/Oracle/Middleware/Oracle_Home/wlserver/../oracle_common/modules</t>
  </si>
  <si>
    <t>/export/home/museadmin/musedomain/bin:/export/home/museadmin/Oracle/Middleware/Oracle_Home/wlserver/server/bin:/export/home/museadmin/Oracle/Middleware/Oracle_Home/wlserver/../oracle_common/modules/thirdparty/org.apache.ant/1.10.5.0.0/apache-ant-1.10.5/bin:/usr/java/jdk1.8.0_271-amd64/jre/bin:/usr/java/jdk1.8.0_271-amd64/bin:/usr/local/bin:/bin:/usr/bin:/usr/local/sbin:/usr/sbin:/export/home/museadmin/.local/bin:/export/home/museadmin/bin</t>
  </si>
  <si>
    <t>/export/home/museadmin/Oracle/Middleware/Oracle_Home/wlserver/server/lib/weblogic.jar</t>
  </si>
  <si>
    <t>/export/home/museadmin/Oracle/Middleware/Oracle_Home/wlserver/samples</t>
  </si>
  <si>
    <t>-Dweblogic.alternateTypesDirectory='/export/home/museadmin/Oracle/Middleware/Oracle_Home/wlserver/..'/oracle_common/modules/oracle.oamprovider,'/export/home/museadmin/Oracle/Middleware/Oracle_Home/wlserver/..'/oracle_common/modules/oracle.jps</t>
  </si>
  <si>
    <t>museserver</t>
  </si>
  <si>
    <t>/usr/java/jdk1.8.0_271-amd64/lib/tools.jar:/export/home/museadmin/Oracle/Middleware/Oracle_Home/wlserver/server/lib/weblogic.jar:/export/home/museadmin/Oracle/Middleware/Oracle_Home/wlserver/../oracle_common/modules/thirdparty/ant-contrib-1.0b3.jar:/export/home/museadmin/Oracle/Middleware/Oracle_Home/wlserver/modules/features/oracle.wls.common.nodemanager.jar</t>
  </si>
  <si>
    <t>/export/home/museadmin/Oracle/Middleware/Oracle_Home/wlserver</t>
  </si>
  <si>
    <t>/export/home/museadmin/Oracle/Middleware/Oracle_Home/wlserver/server/lib/weblogic.policy</t>
  </si>
  <si>
    <t>/export/home/npmufgwb/Oracle/Middleware/Oracle_Home/wlserver/../oracle_common/modules/thirdparty</t>
  </si>
  <si>
    <t>/export/home/npmufgwb/Oracle/Middleware/Oracle_Home/wlserver/../oracle_common/modules/thirdparty/org.apache.ant/1.10.5.0.0/apache-ant-1.10.5</t>
  </si>
  <si>
    <t>/export/home/npmufgwb/npmufgdomain2/WebLogic.jsa</t>
  </si>
  <si>
    <t>/export/home/npmufgwb/npmufgdomain2/WebLogic.classlist</t>
  </si>
  <si>
    <t>/export/home/npmufgwb/Oracle/Middleware/Oracle_Home/wlserver/..</t>
  </si>
  <si>
    <t>/export/home/npmufgwb/Oracle/Middleware/Oracle_Home/wlserver/modules/features/oracle.wls.common.nodemanager.jar</t>
  </si>
  <si>
    <t>-Dweblogic.management.server=https://skmweb2x0at01:8310</t>
  </si>
  <si>
    <t>/export/home/npmufgwb/Oracle/Middleware/Oracle_Home/wlserver/../coherence</t>
  </si>
  <si>
    <t>/export/home/npmufgwb/Oracle/Middleware/Oracle_Home/wlserver/common/derby/lib/derbyclient.jar:/export/home/npmufgwb/Oracle/Middleware/Oracle_Home/wlserver/common/derby/lib/derby.jar</t>
  </si>
  <si>
    <t>-javaagent:/export/home/npmufgwb/Oracle/Middleware/Oracle_Home/wlserver/server/lib/debugpatch-agent.jar</t>
  </si>
  <si>
    <t>:/export/home/npmufgwb/Oracle/Middleware/Oracle_Home/wlserver/common/derby/lib/derbynet.jar:/export/home/npmufgwb/Oracle/Middleware/Oracle_Home/wlserver/common/derby/lib/derbyclient.jar:/export/home/npmufgwb/Oracle/Middleware/Oracle_Home/wlserver/common/derby/lib/derby.jar</t>
  </si>
  <si>
    <t>/export/home/npmufgwb/Oracle/Middleware/Oracle_Home/wlserver/common/derby</t>
  </si>
  <si>
    <t>-Dderby.system.home=/export/home/npmufgwb/npmufgdomain2/common/db</t>
  </si>
  <si>
    <t>/export/home/npmufgwb/npmufgdomain2/common/db</t>
  </si>
  <si>
    <t>/export/home/npmufgwb/Oracle/Middleware/Oracle_Home/wlserver/common/derby/lib/derbytools.jar</t>
  </si>
  <si>
    <t>/export/home/npmufgwb/Oracle/Middleware/Oracle_Home/wlserver/../oracle_common/modules/features</t>
  </si>
  <si>
    <t>/usr/java/jdk1.8.0_271-amd64/lib/tools.jar:/export/home/npmufgwb/Oracle/Middleware/Oracle_Home/wlserver/modules/features/wlst.wls.classpath.jar</t>
  </si>
  <si>
    <t>/export/home/npmufgwb/Oracle/Middleware/Oracle_Home/wlserver/../oracle_common/modules/features/cieCfg_wls_lib.jar</t>
  </si>
  <si>
    <t xml:space="preserve"> -Dweblogic.ProductionModeEnabled=true  -Xdebug -Xnoagent -Djava.compiler=NONE -Xrunjdwp:transport=dt_socket,server=y,suspend=n,address=5310 -Xloggc:/var/npmufgweblogic2/logs/gc202202021527.log -XX:+PrintGCDetails -XX:+PrintGCTimeStamps -DPROPERTIESFILE=/export/home/npmufgwb/npmufgweb2/connect/connect_war/WEB-INF/classes/System.properties -Dsun.nio.cs.map=x-windows-iso2022jp/ISO-2022-JP -DManagedFlg=true -Djava.system.class.loader=com.oracle.classloader.weblogic.LaunchClassLoader  -javaagent:/export/home/npmufgwb/Oracle/Middleware/Oracle_Home/wlserver/server/lib/debugpatch-agent.jar -da -Dwls.home=/export/home/npmufgwb/Oracle/Middleware/Oracle_Home/wlserver/server -Dweblogic.home=/export/home/npmufgwb/Oracle/Middleware/Oracle_Home/wlserver/server   -Dweblogic.management.server=https://skmweb2x0at01:8310  -javaagent:/opt/appdynamics/javaAgent/javaagent.jar -Dappdynamics.agent.applicationName=MWEB -Dappdynamics.agent.tierName=skmweb2x0at01-TogoWebService2D -Dappdynamics.agent.nodeName=skmweb2x0at01-2D -Dweblogic.security.SSL.trustedCAKeyStore=/export/home/npmufgwb/Oracle/Middleware/Oracle_Home/keystores/npmufgkeystore.jks -Dweblogic.security.SSL.ignoreHostnameVerification=true</t>
  </si>
  <si>
    <t xml:space="preserve">-Dwls.home=/export/home/npmufgwb/Oracle/Middleware/Oracle_Home/wlserver/server -Dweblogic.home=/export/home/npmufgwb/Oracle/Middleware/Oracle_Home/wlserver/server   -Dweblogic.management.server=https://skmweb2x0at01:8310 </t>
  </si>
  <si>
    <t>-Dnp2d.cr.mufg -server</t>
  </si>
  <si>
    <t>LAUNCH_ARGS</t>
  </si>
  <si>
    <t>-cp /export/home/npmufgwb/Oracle/Middleware/Oracle_Home/wlserver/server/lib/weblogic-launcher.jar -Dlaunch.use.env.classpath=true</t>
  </si>
  <si>
    <t>::/export/home/npmufgwb/Oracle/Middleware/Oracle_Home/wlserver/server/native/linux/x86_64:/export/home/npmufgwb/Oracle/Middleware/Oracle_Home/wlserver/server/native/linux/x86_64/oci920_8</t>
  </si>
  <si>
    <t>LS_COLORS</t>
  </si>
  <si>
    <t>rs=0:di=01;34:ln=01;36:mh=00:pi=40;33:so=01;35:do=01;35:bd=40;33;01:cd=40;33;01:or=40;31;01:mi=01;05;37;41:su=37;41:sg=30;43:ca=30;41:tw=30;42:ow=34;42:st=37;44:ex=01;32:*.tar=01;31:*.tgz=01;31:*.arc=01;31:*.arj=01;31:*.taz=01;31:*.lha=01;31:*.lz4=01;31:*.lzh=01;31:*.lzma=01;31:*.tlz=01;31:*.txz=01;31:*.tzo=01;31:*.t7z=01;31:*.zip=01;31:*.z=01;31:*.Z=01;31:*.dz=01;31:*.gz=01;31:*.lrz=01;31:*.lz=01;31:*.lzo=01;31:*.xz=01;31:*.bz2=01;31:*.bz=01;31:*.tbz=01;31:*.tbz2=01;31:*.tz=01;31:*.deb=01;31:*.rpm=01;31:*.jar=01;31:*.war=01;31:*.ear=01;31:*.sar=01;31:*.rar=01;31:*.alz=01;31:*.ace=01;31:*.zoo=01;31:*.cpio=01;31:*.7z=01;31:*.rz=01;31:*.cab=01;31:*.jpg=01;35:*.jpeg=01;35:*.gif=01;35:*.bmp=01;35:*.pbm=01;35:*.pgm=01;35:*.ppm=01;35:*.tga=01;35:*.xbm=01;35:*.xpm=01;35:*.tif=01;35:*.tiff=01;35:*.png=01;35:*.svg=01;35:*.svgz=01;35:*.mng=01;35:*.pcx=01;35:*.mov=01;35:*.mpg=01;35:*.mpeg=01;35:*.m2v=01;35:*.mkv=01;35:*.webm=01;35:*.ogm=01;35:*.mp4=01;35:*.m4v=01;35:*.mp4v=01;35:*.vob=01;35:*.qt=01;35:*.nuv=01;35:*.wmv=01;35:*.asf=01;35:*.rm=01;35:*.rmvb=01;35:*.flc=01;35:*.avi=01;35:*.fli=01;35:*.flv=01;35:*.gl=01;35:*.dl=01;35:*.xcf=01;35:*.xwd=01;35:*.yuv=01;35:*.cgm=01;35:*.emf=01;35:*.axv=01;35:*.anx=01;35:*.ogv=01;35:*.ogx=01;35:*.aac=01;36:*.au=01;36:*.flac=01;36:*.mid=01;36:*.midi=01;36:*.mka=01;36:*.mp3=01;36:*.mpc=01;36:*.ogg=01;36:*.ra=01;36:*.wav=01;36:*.axa=01;36:*.oga=01;36:*.spx=01;36:*.xspf=01;36:</t>
  </si>
  <si>
    <t>/var/spool/mail/npmufgwb</t>
  </si>
  <si>
    <t>/export/home/npmufgwb/Oracle/Middleware/Oracle_Home/wlserver/../oracle_common/modules</t>
  </si>
  <si>
    <t>localhost,127.0.0.1,.ext1.cr.mufg.jp,169.254.169.254,cloudtrail.ap-northeast-1.amazonaws.com,events.ap-northeast-1.amazonaws.com,logs.ap-northeast-1.amazonaws.com,monitoring.ap-northeast-1.amazonaws.com,ec2.ap-northeast-1.amazonaws.com,elasticloadbalancing.ap-northeast-1.amazonaws.com,sns.ap-northeast-1.amazonaws.com,sqs.ap-northeast-1.amazonaws.com,ap-northeast-1.queue.amazonaws.com,s3-ap-northeast-1.amazonaws.com,s3.ap-northeast-1.amazonaws.com,ssm.ap-northeast-1.amazonaws.com,ec2messages.ap-northeast-1.amazonaws.com,autoscaling.ap-northeast-1.amazonaws.com,branch.nicos.co.jp</t>
  </si>
  <si>
    <t>/export/home/npmufgwb/npmufgdomain2/bin:/export/home/npmufgwb/Oracle/Middleware/Oracle_Home/wlserver/server/bin:/export/home/npmufgwb/Oracle/Middleware/Oracle_Home/wlserver/../oracle_common/modules/thirdparty/org.apache.ant/1.10.5.0.0/apache-ant-1.10.5/bin:/usr/java/jdk1.8.0_271-amd64/jre/bin:/usr/java/jdk1.8.0_271-amd64/bin:/usr/local/bin:/bin:/usr/bin:/usr/local/sbin:/usr/sbin:/export/home/npmufgwb/.local/bin:/export/home/npmufgwb/bin</t>
  </si>
  <si>
    <t>/export/home/npmufgwb/Oracle/Middleware/Oracle_Home/wlserver/server/lib/weblogic.jar</t>
  </si>
  <si>
    <t>/export/home/npmufgwb/Oracle/Middleware/Oracle_Home/wlserver/samples</t>
  </si>
  <si>
    <t>-Dweblogic.alternateTypesDirectory='/export/home/npmufgwb/Oracle/Middleware/Oracle_Home/wlserver/..'/oracle_common/modules/oracle.oamprovider,'/export/home/npmufgwb/Oracle/Middleware/Oracle_Home/wlserver/..'/oracle_common/modules/oracle.jps</t>
  </si>
  <si>
    <t>TMP_UPDATE_SCRIPT</t>
  </si>
  <si>
    <t>/tmp/Update.sh</t>
  </si>
  <si>
    <t>/usr/java/jdk1.8.0_271-amd64/lib/tools.jar:/export/home/npmufgwb/Oracle/Middleware/Oracle_Home/wlserver/server/lib/weblogic.jar:/export/home/npmufgwb/Oracle/Middleware/Oracle_Home/wlserver/../oracle_common/modules/thirdparty/ant-contrib-1.0b3.jar:/export/home/npmufgwb/Oracle/Middleware/Oracle_Home/wlserver/modules/features/oracle.wls.common.nodemanager.jar</t>
  </si>
  <si>
    <t>/export/home/npmufgwb/Oracle/Middleware/Oracle_Home/wlserver</t>
  </si>
  <si>
    <t>WLS_PW</t>
  </si>
  <si>
    <t>WLS_USER</t>
  </si>
  <si>
    <t>48</t>
  </si>
  <si>
    <t>/export/home/npmufgwb/npmufgdomain1/WebLogic.jsa</t>
  </si>
  <si>
    <t>/export/home/npmufgwb/npmufgdomain1/WebLogic.classlist</t>
  </si>
  <si>
    <t>/usr/java/jdk1.8.0_271-amd64/lib/tools.jar:/export/home/npmufgwb/Oracle/Middleware/Oracle_Home/wlserver/server/lib/weblogic.jar:/export/home/npmufgwb/Oracle/Middleware/Oracle_Home/wlserver/../oracle_common/modules/thirdparty/ant-contrib-1.0b3.jar:/export/home/npmufgwb/Oracle/Middleware/Oracle_Home/wlserver/modules/features/oracle.wls.common.nodemanager.jar::/export/home/npmufgwb/Oracle/Middleware/Oracle_Home/wlserver/common/derby/lib/derbynet.jar:/export/home/npmufgwb/Oracle/Middleware/Oracle_Home/wlserver/common/derby/lib/derbyclient.jar:/export/home/npmufgwb/Oracle/Middleware/Oracle_Home/wlserver/common/derby/lib/derby.jar</t>
  </si>
  <si>
    <t>-Dweblogic.management.server=t3://skmweb2x0at01:7301</t>
  </si>
  <si>
    <t>-Dderby.system.home=/export/home/npmufgwb/npmufgdomain1/common/db</t>
  </si>
  <si>
    <t>/export/home/npmufgwb/npmufgdomain1/common/db</t>
  </si>
  <si>
    <t xml:space="preserve"> -Dweblogic.ProductionModeEnabled=true  -Djava.system.class.loader=com.oracle.classloader.weblogic.LaunchClassLoader  -javaagent:/export/home/npmufgwb/Oracle/Middleware/Oracle_Home/wlserver/server/lib/debugpatch-agent.jar -da -Dwls.home=/export/home/npmufgwb/Oracle/Middleware/Oracle_Home/wlserver/server -Dweblogic.home=/export/home/npmufgwb/Oracle/Middleware/Oracle_Home/wlserver/server   -Dweblogic.management.server=t3://skmweb2x0at01:7301  -javaagent:/opt/appdynamics/javaAgent/javaagent.jar -Dappdynamics.agent.applicationName=MWEB -Dappdynamics.agent.tierName=skmweb2x0at-TogoWebService1M -Dappdynamics.agent.nodeName=skmweb2x0at01-1M -Xloggc:/var/npmufgweblogic1/logs/gc202202021456.log -Dweblogic.security.SSL.trustedCAKeyStore=/export/home/npmufgwb/Oracle/Middleware/Oracle_Home/keystores/npmufgkeystore.jks -Dweblogic.security.SSL.ignoreHostnameVerification=true</t>
  </si>
  <si>
    <t xml:space="preserve">-Dwls.home=/export/home/npmufgwb/Oracle/Middleware/Oracle_Home/wlserver/server -Dweblogic.home=/export/home/npmufgwb/Oracle/Middleware/Oracle_Home/wlserver/server   -Dweblogic.management.server=t3://skmweb2x0at01:7301 </t>
  </si>
  <si>
    <t xml:space="preserve">-Xms512m -Xmx512m </t>
  </si>
  <si>
    <t>/export/home/npmufgwb/npmufgdomain1/bin:/export/home/npmufgwb/Oracle/Middleware/Oracle_Home/wlserver/server/bin:/export/home/npmufgwb/Oracle/Middleware/Oracle_Home/wlserver/../oracle_common/modules/thirdparty/org.apache.ant/1.10.5.0.0/apache-ant-1.10.5/bin:/usr/java/jdk1.8.0_271-amd64/jre/bin:/usr/java/jdk1.8.0_271-amd64/bin:/usr/local/bin:/bin:/usr/bin:/usr/local/sbin:/usr/sbin:/export/home/npmufgwb/.local/bin:/export/home/npmufgwb/bin</t>
  </si>
  <si>
    <t>/export/home/npmufgwb/npmufgdomain3/WebLogic.jsa</t>
  </si>
  <si>
    <t>/export/home/npmufgwb/npmufgdomain3/WebLogic.classlist</t>
  </si>
  <si>
    <t>-Dweblogic.management.server=https://skmweb2x0at01:8320</t>
  </si>
  <si>
    <t>-Dderby.system.home=/export/home/npmufgwb/npmufgdomain3/common/db</t>
  </si>
  <si>
    <t>/export/home/npmufgwb/npmufgdomain3/common/db</t>
  </si>
  <si>
    <t xml:space="preserve"> -Dweblogic.ProductionModeEnabled=true  -Xdebug -Xnoagent -Djava.compiler=NONE -Xrunjdwp:transport=dt_socket,server=y,suspend=n,address=5320 -Xloggc:/var/npmufgweblogic3/logs/gc202202020827.log -XX:+PrintGCDetails -XX:+PrintGCTimeStamps -DPROPERTIESFILE=/export/home/npmufgwb/npmufgweb3/connect/connect_war/WEB-INF/classes/System.properties -Dsun.nio.cs.map=x-windows-iso2022jp/ISO-2022-JP -DManagedFlg=true -Djava.system.class.loader=com.oracle.classloader.weblogic.LaunchClassLoader  -javaagent:/export/home/npmufgwb/Oracle/Middleware/Oracle_Home/wlserver/server/lib/debugpatch-agent.jar -da -Dwls.home=/export/home/npmufgwb/Oracle/Middleware/Oracle_Home/wlserver/server -Dweblogic.home=/export/home/npmufgwb/Oracle/Middleware/Oracle_Home/wlserver/server   -Dweblogic.management.server=https://skmweb2x0at01:8320  -javaagent:/opt/appdynamics/javaAgent/javaagent.jar -Dappdynamics.agent.applicationName=MWEB -Dappdynamics.agent.tierName=skmweb2x0at-TogoWebService3N -Dappdynamics.agent.nodeName=skmweb2x0at01-3N -Dweblogic.security.SSL.trustedCAKeyStore=/export/home/npmufgwb/Oracle/Middleware/Oracle_Home/keystores/npmufgkeystore.jks -Dweblogic.security.SSL.ignoreHostnameVerification=true</t>
  </si>
  <si>
    <t xml:space="preserve">-Dwls.home=/export/home/npmufgwb/Oracle/Middleware/Oracle_Home/wlserver/server -Dweblogic.home=/export/home/npmufgwb/Oracle/Middleware/Oracle_Home/wlserver/server   -Dweblogic.management.server=https://skmweb2x0at01:8320 </t>
  </si>
  <si>
    <t>-Dnp2n.cr.mufg -server</t>
  </si>
  <si>
    <t>/export/home/npmufgwb/npmufgdomain3/bin:/export/home/npmufgwb/Oracle/Middleware/Oracle_Home/wlserver/server/bin:/export/home/npmufgwb/Oracle/Middleware/Oracle_Home/wlserver/../oracle_common/modules/thirdparty/org.apache.ant/1.10.5.0.0/apache-ant-1.10.5/bin:/usr/java/jdk1.8.0_271-amd64/jre/bin:/usr/java/jdk1.8.0_271-amd64/bin:/usr/local/bin:/bin:/usr/bin:/usr/local/sbin:/usr/sbin:/export/home/npmufgwb/.local/bin:/export/home/npmufgwb/bin</t>
  </si>
  <si>
    <t>/usr/java/jdk1.8.0_271-amd64/jre/bin/java</t>
  </si>
  <si>
    <t>BLOCS_HOME</t>
  </si>
  <si>
    <t>/opt/blocs</t>
  </si>
  <si>
    <t>.:/usr/java/jdk1.8.0_271-amd64/lib/tools.jar:/opt/Oracle/Middleware/wlserver/server/lib/weblogic.jar:/opt/blocs/lib/system/UtBase.jar:/opt/blocs/lib/batch/CmBatchCore.jar:/opt/blocs/lib/system/BlMessage_ja.jar:/usr/share/java/mysql-connector-java.jar</t>
  </si>
  <si>
    <t>.:/usr/lib:/WLC/fepgw/lib:/WLC/fepgw/lib/bean:/opt/Oracle/Middleware/wlserver/server/native/linux/x86_64</t>
  </si>
  <si>
    <t>/var/spool/mail/ipjadmin</t>
  </si>
  <si>
    <t>MOUNT_DIR</t>
  </si>
  <si>
    <t>/home/ipjadmin/work/backup</t>
  </si>
  <si>
    <t>/usr/java/jdk1.8.0_271-amd64/jre/bin:/usr/java/jdk1.8.0_271-amd64/bin:.:/usr/local/bin:/bin:/usr/bin:/usr/local/sbin:/usr/sbin:/WLC/fepgw/shell:/WLC/fepgw/shell/tool:/opt/Oracle/Middleware/wlserver/server/bin:/opt/Oracle/Middleware/wlserver/common/bin:/home/ipjadmin/.local/bin:/home/ipjadmin/bin</t>
  </si>
  <si>
    <t>2</t>
  </si>
  <si>
    <t>/opt/Oracle/Middleware/wlserver</t>
  </si>
  <si>
    <t>WLCFGW_HOME</t>
  </si>
  <si>
    <t>/WLC/fepgw</t>
  </si>
  <si>
    <t>/usr/bin/java</t>
  </si>
  <si>
    <t>CATALINA_OPTS</t>
  </si>
  <si>
    <t>-Xmx256m -Xms256m</t>
  </si>
  <si>
    <t>JAVA_OPTS</t>
  </si>
  <si>
    <t xml:space="preserve"> -Djava.library.path=/opt/mqm/java/lib64 -javaagent:/opt/appdynamics/javaAgent/javaagent.jar -Dappdynamics.agent.applicationName=MWEB -Dappdynamics.agent.tierName=skmweb2x0od-OD -Dappdynamics.agent.nodeName=skmweb2x0od01-1 -Djdk.tls.ephemeralDHKeySize=2048 -Djava.protocol.handler.pkgs=org.apache.catalina.webresources -Dorg.apache.catalina.security.SecurityListener.UMASK=0027</t>
  </si>
  <si>
    <t>JDK_JAVA_OPTIONS</t>
  </si>
  <si>
    <t xml:space="preserve"> --add-opens=java.base/java.lang=ALL-UNNAMED --add-opens=java.base/java.io=ALL-UNNAMED --add-opens=java.rmi/sun.rmi.transport=ALL-UNNAMED</t>
  </si>
  <si>
    <t>/usr/local/sbin:/usr/local/bin:/usr/sbin:/usr/bin</t>
  </si>
  <si>
    <t>/sbin/nologin</t>
  </si>
  <si>
    <t xml:space="preserve"> -Djava.library.path=/opt/mqm/java/lib64 -javaagent:/opt/appdynamics/javaAgent/javaagent.jar -Dappdynamics.agent.applicationName=MWEB -Dappdynamics.agent.tierName=skmweb2x0od-OD -Dappdynamics.agent.nodeName=skmweb2x0od01-2 -Djdk.tls.ephemeralDHKeySize=2048 -Djava.protocol.handler.pkgs=org.apache.catalina.webresources -Dorg.apache.catalina.security.SecurityListener.UMASK=0027</t>
  </si>
  <si>
    <t xml:space="preserve"> -Djava.library.path=/opt/mqm/java/lib64 -javaagent:/opt/appdynamics/javaAgent/javaagent.jar -Dappdynamics.agent.applicationName=MWEB -Dappdynamics.agent.tierName=skmweb2x0od-OD -Dappdynamics.agent.nodeName=skmweb2x0od01-3 -Djdk.tls.ephemeralDHKeySize=2048 -Djava.protocol.handler.pkgs=org.apache.catalina.webresources -Dorg.apache.catalina.security.SecurityListener.UMASK=0027</t>
  </si>
  <si>
    <t>Types of Backends</t>
  </si>
  <si>
    <t>Locations of Backends</t>
  </si>
  <si>
    <t>BackendName</t>
  </si>
  <si>
    <t>BackendType</t>
  </si>
  <si>
    <t>IsExplicitRule</t>
  </si>
  <si>
    <t>RuleName</t>
  </si>
  <si>
    <t>NumProps</t>
  </si>
  <si>
    <t>Prop1Name</t>
  </si>
  <si>
    <t>Prop1Value</t>
  </si>
  <si>
    <t>Prop2Name</t>
  </si>
  <si>
    <t>Prop2Value</t>
  </si>
  <si>
    <t>Prop3Name</t>
  </si>
  <si>
    <t>Prop3Value</t>
  </si>
  <si>
    <t>Prop4Name</t>
  </si>
  <si>
    <t>Prop4Value</t>
  </si>
  <si>
    <t>Prop5Name</t>
  </si>
  <si>
    <t>Prop5Value</t>
  </si>
  <si>
    <t>Prop6Name</t>
  </si>
  <si>
    <t>Prop6Value</t>
  </si>
  <si>
    <t>Prop7Name</t>
  </si>
  <si>
    <t>Prop7Value</t>
  </si>
  <si>
    <t>DBMonCollectorName</t>
  </si>
  <si>
    <t>DBMonCollectorType</t>
  </si>
  <si>
    <t>BackendID</t>
  </si>
  <si>
    <t>DBMonCollectorConfigID</t>
  </si>
  <si>
    <t>BackendLink</t>
  </si>
  <si>
    <t>WLCFGWDB-MySQL-SKMWEB2X0AD01-5.7.12-log</t>
  </si>
  <si>
    <t>JDBC</t>
  </si>
  <si>
    <t>HOST</t>
  </si>
  <si>
    <t>SKMWEB2X0AD01</t>
  </si>
  <si>
    <t>MAJOR_VERSION</t>
  </si>
  <si>
    <t>5.7.12-log</t>
  </si>
  <si>
    <t>PORT</t>
  </si>
  <si>
    <t>55000</t>
  </si>
  <si>
    <t>SCHEMA</t>
  </si>
  <si>
    <t>WLCFGWDB</t>
  </si>
  <si>
    <t>URL</t>
  </si>
  <si>
    <t>jdbc:mysql://skmweb2x0ad01:55000/WLCFGWDB?characterEncoding=UTF-8&amp;characterSetResults=UTF-8</t>
  </si>
  <si>
    <t>VENDOR</t>
  </si>
  <si>
    <t>MySQL</t>
  </si>
  <si>
    <t>http://10.175.1.14:8090/controller/#/location=APP_BACKEND_DASHBOARD&amp;timeRange=last_15_minutes.BEFORE_NOW.-1.-1.15&amp;application=12&amp;backendDashboard=397&amp;dashboardMode=force</t>
  </si>
  <si>
    <t>Oracle Weblogic-WlcFgw!WlcFgwJmsMessageResponseQueue</t>
  </si>
  <si>
    <t>JMS</t>
  </si>
  <si>
    <t>DESTINATION_NAME</t>
  </si>
  <si>
    <t>WlcFgw!WlcFgwJmsMessageResponseQueue</t>
  </si>
  <si>
    <t>DESTINATION_TYPE</t>
  </si>
  <si>
    <t>QUEUE</t>
  </si>
  <si>
    <t>Oracle Weblogic</t>
  </si>
  <si>
    <t>http://10.175.1.14:8090/controller/#/location=APP_BACKEND_DASHBOARD&amp;timeRange=last_15_minutes.BEFORE_NOW.-1.-1.15&amp;application=12&amp;backendDashboard=9&amp;dashboardMode=force</t>
  </si>
  <si>
    <t>Oracle Weblogic-WlcFgwJmsMessageRequestQueue</t>
  </si>
  <si>
    <t>WlcFgwJmsMessageRequestQueue</t>
  </si>
  <si>
    <t>http://10.175.1.14:8090/controller/#/location=APP_BACKEND_DASHBOARD&amp;timeRange=last_15_minutes.BEFORE_NOW.-1.-1.15&amp;application=12&amp;backendDashboard=7&amp;dashboardMode=force</t>
  </si>
  <si>
    <t>Websphere MQ-QRB01OD</t>
  </si>
  <si>
    <t>QRB01OD</t>
  </si>
  <si>
    <t>IBM MQ classes for Java v9.1.0.4</t>
  </si>
  <si>
    <t>1414</t>
  </si>
  <si>
    <t>Websphere MQ</t>
  </si>
  <si>
    <t>http://10.175.1.14:8090/controller/#/location=APP_BACKEND_DASHBOARD&amp;timeRange=last_15_minutes.BEFORE_NOW.-1.-1.15&amp;application=12&amp;backendDashboard=410&amp;dashboardMode=force</t>
  </si>
  <si>
    <t>Websphere MQ-QRC01OD</t>
  </si>
  <si>
    <t>QRC01OD</t>
  </si>
  <si>
    <t>http://10.175.1.14:8090/controller/#/location=APP_BACKEND_DASHBOARD&amp;timeRange=last_15_minutes.BEFORE_NOW.-1.-1.15&amp;application=12&amp;backendDashboard=553&amp;dashboardMode=force</t>
  </si>
  <si>
    <t>Websphere MQ-SYSTEM.ADMIN.COMMAND.QUEUE</t>
  </si>
  <si>
    <t>SYSTEM.ADMIN.COMMAND.QUEUE</t>
  </si>
  <si>
    <t>http://10.175.1.14:8090/controller/#/location=APP_BACKEND_DASHBOARD&amp;timeRange=last_15_minutes.BEFORE_NOW.-1.-1.15&amp;application=12&amp;backendDashboard=36&amp;dashboardMode=force</t>
  </si>
  <si>
    <t>Types of BTs</t>
  </si>
  <si>
    <t>Overflow BTs</t>
  </si>
  <si>
    <t>Location of BTs</t>
  </si>
  <si>
    <t>BTName</t>
  </si>
  <si>
    <t>BTNameOriginal</t>
  </si>
  <si>
    <t>IsRenamed</t>
  </si>
  <si>
    <t>BTType</t>
  </si>
  <si>
    <t>BTID</t>
  </si>
  <si>
    <t>BTLink</t>
  </si>
  <si>
    <t>/admin/login.jsp</t>
  </si>
  <si>
    <t>SERVLET</t>
  </si>
  <si>
    <t>http://10.175.1.14:8090/controller/#/location=APP_BT_DETAIL&amp;timeRange=last_15_minutes.BEFORE_NOW.-1.-1.15&amp;application=12&amp;businessTransaction=438&amp;dashboardMode=force</t>
  </si>
  <si>
    <t>/api/login</t>
  </si>
  <si>
    <t>http://10.175.1.14:8090/controller/#/location=APP_BT_DETAIL&amp;timeRange=last_15_minutes.BEFORE_NOW.-1.-1.15&amp;application=12&amp;businessTransaction=170&amp;dashboardMode=force</t>
  </si>
  <si>
    <t>/connect/dummy</t>
  </si>
  <si>
    <t>http://10.175.1.14:8090/controller/#/location=APP_BT_DETAIL&amp;timeRange=last_15_minutes.BEFORE_NOW.-1.-1.15&amp;application=12&amp;businessTransaction=202&amp;dashboardMode=force</t>
  </si>
  <si>
    <t>/dms2/Login.jsp</t>
  </si>
  <si>
    <t>http://10.175.1.14:8090/controller/#/location=APP_BT_DETAIL&amp;timeRange=last_15_minutes.BEFORE_NOW.-1.-1.15&amp;application=12&amp;businessTransaction=437&amp;dashboardMode=force</t>
  </si>
  <si>
    <t>/HealthMonitor</t>
  </si>
  <si>
    <t>http://10.175.1.14:8090/controller/#/location=APP_BT_DETAIL&amp;timeRange=last_15_minutes.BEFORE_NOW.-1.-1.15&amp;application=12&amp;businessTransaction=157&amp;dashboardMode=force</t>
  </si>
  <si>
    <t>/inet/affiliate</t>
  </si>
  <si>
    <t>http://10.175.1.14:8090/controller/#/location=APP_BT_DETAIL&amp;timeRange=last_15_minutes.BEFORE_NOW.-1.-1.15&amp;application=12&amp;businessTransaction=168&amp;dashboardMode=force</t>
  </si>
  <si>
    <t>/inet/announcement</t>
  </si>
  <si>
    <t>http://10.175.1.14:8090/controller/#/location=APP_BT_DETAIL&amp;timeRange=last_15_minutes.BEFORE_NOW.-1.-1.15&amp;application=12&amp;businessTransaction=184&amp;dashboardMode=force</t>
  </si>
  <si>
    <t>/inet/clerk</t>
  </si>
  <si>
    <t>http://10.175.1.14:8090/controller/#/location=APP_BT_DETAIL&amp;timeRange=last_15_minutes.BEFORE_NOW.-1.-1.15&amp;application=12&amp;businessTransaction=214&amp;dashboardMode=force</t>
  </si>
  <si>
    <t>/inet/corporate</t>
  </si>
  <si>
    <t>http://10.175.1.14:8090/controller/#/location=APP_BT_DETAIL&amp;timeRange=last_15_minutes.BEFORE_NOW.-1.-1.15&amp;application=12&amp;businessTransaction=213&amp;dashboardMode=force</t>
  </si>
  <si>
    <t>/inet/dy</t>
  </si>
  <si>
    <t>http://10.175.1.14:8090/controller/#/location=APP_BT_DETAIL&amp;timeRange=last_15_minutes.BEFORE_NOW.-1.-1.15&amp;application=12&amp;businessTransaction=155&amp;dashboardMode=force</t>
  </si>
  <si>
    <t>/inet/EshopSimulator.jsp</t>
  </si>
  <si>
    <t>http://10.175.1.14:8090/controller/#/location=APP_BT_DETAIL&amp;timeRange=last_15_minutes.BEFORE_NOW.-1.-1.15&amp;application=12&amp;businessTransaction=222&amp;dashboardMode=force</t>
  </si>
  <si>
    <t>/inet/idpw</t>
  </si>
  <si>
    <t>http://10.175.1.14:8090/controller/#/location=APP_BT_DETAIL&amp;timeRange=last_15_minutes.BEFORE_NOW.-1.-1.15&amp;application=12&amp;businessTransaction=156&amp;dashboardMode=force</t>
  </si>
  <si>
    <t>/inet/life</t>
  </si>
  <si>
    <t>http://10.175.1.14:8090/controller/#/location=APP_BT_DETAIL&amp;timeRange=last_15_minutes.BEFORE_NOW.-1.-1.15&amp;application=12&amp;businessTransaction=106&amp;dashboardMode=force</t>
  </si>
  <si>
    <t>/inet/ni</t>
  </si>
  <si>
    <t>http://10.175.1.14:8090/controller/#/location=APP_BT_DETAIL&amp;timeRange=last_15_minutes.BEFORE_NOW.-1.-1.15&amp;application=12&amp;businessTransaction=167&amp;dashboardMode=force</t>
  </si>
  <si>
    <t>/inet/online</t>
  </si>
  <si>
    <t>http://10.175.1.14:8090/controller/#/location=APP_BT_DETAIL&amp;timeRange=last_15_minutes.BEFORE_NOW.-1.-1.15&amp;application=12&amp;businessTransaction=159&amp;dashboardMode=force</t>
  </si>
  <si>
    <t>/inet/postac</t>
  </si>
  <si>
    <t>http://10.175.1.14:8090/controller/#/location=APP_BT_DETAIL&amp;timeRange=last_15_minutes.BEFORE_NOW.-1.-1.15&amp;application=12&amp;businessTransaction=164&amp;dashboardMode=force</t>
  </si>
  <si>
    <t>/inet/rwd</t>
  </si>
  <si>
    <t>http://10.175.1.14:8090/controller/#/location=APP_BT_DETAIL&amp;timeRange=last_15_minutes.BEFORE_NOW.-1.-1.15&amp;application=12&amp;businessTransaction=216&amp;dashboardMode=force</t>
  </si>
  <si>
    <t>/inet/seamless</t>
  </si>
  <si>
    <t>http://10.175.1.14:8090/controller/#/location=APP_BT_DETAIL&amp;timeRange=last_15_minutes.BEFORE_NOW.-1.-1.15&amp;application=12&amp;businessTransaction=218&amp;dashboardMode=force</t>
  </si>
  <si>
    <t>/inet/shiryoseikyu</t>
  </si>
  <si>
    <t>http://10.175.1.14:8090/controller/#/location=APP_BT_DETAIL&amp;timeRange=last_15_minutes.BEFORE_NOW.-1.-1.15&amp;application=12&amp;businessTransaction=165&amp;dashboardMode=force</t>
  </si>
  <si>
    <t>/inet/siryo</t>
  </si>
  <si>
    <t>http://10.175.1.14:8090/controller/#/location=APP_BT_DETAIL&amp;timeRange=last_15_minutes.BEFORE_NOW.-1.-1.15&amp;application=12&amp;businessTransaction=163&amp;dashboardMode=force</t>
  </si>
  <si>
    <t>/inet/toto</t>
  </si>
  <si>
    <t>http://10.175.1.14:8090/controller/#/location=APP_BT_DETAIL&amp;timeRange=last_15_minutes.BEFORE_NOW.-1.-1.15&amp;application=12&amp;businessTransaction=161&amp;dashboardMode=force</t>
  </si>
  <si>
    <t>/inet/TotoSimulator.jsp</t>
  </si>
  <si>
    <t>http://10.175.1.14:8090/controller/#/location=APP_BT_DETAIL&amp;timeRange=last_15_minutes.BEFORE_NOW.-1.-1.15&amp;application=12&amp;businessTransaction=162&amp;dashboardMode=force</t>
  </si>
  <si>
    <t>/intruvert/jsp</t>
  </si>
  <si>
    <t>http://10.175.1.14:8090/controller/#/location=APP_BT_DETAIL&amp;timeRange=last_15_minutes.BEFORE_NOW.-1.-1.15&amp;application=12&amp;businessTransaction=439&amp;dashboardMode=force</t>
  </si>
  <si>
    <t>/IPJSETTLEMENT</t>
  </si>
  <si>
    <t>http://10.175.1.14:8090/controller/#/location=APP_BT_DETAIL&amp;timeRange=last_15_minutes.BEFORE_NOW.-1.-1.15&amp;application=12&amp;businessTransaction=176&amp;dashboardMode=force</t>
  </si>
  <si>
    <t>/JConnect/acsserver</t>
  </si>
  <si>
    <t>http://10.175.1.14:8090/controller/#/location=APP_BT_DETAIL&amp;timeRange=last_15_minutes.BEFORE_NOW.-1.-1.15&amp;application=12&amp;businessTransaction=177&amp;dashboardMode=force</t>
  </si>
  <si>
    <t>/management/weblogic</t>
  </si>
  <si>
    <t>http://10.175.1.14:8090/controller/#/location=APP_BT_DETAIL&amp;timeRange=last_15_minutes.BEFORE_NOW.-1.-1.15&amp;application=12&amp;businessTransaction=137&amp;dashboardMode=force</t>
  </si>
  <si>
    <t>/WEB-INF/jsp</t>
  </si>
  <si>
    <t>http://10.175.1.14:8090/controller/#/location=APP_BT_DETAIL&amp;timeRange=last_15_minutes.BEFORE_NOW.-1.-1.15&amp;application=12&amp;businessTransaction=409&amp;dashboardMode=force</t>
  </si>
  <si>
    <t>_APPDYNAMICS_DEFAULT_TX_</t>
  </si>
  <si>
    <t>OVERFLOW</t>
  </si>
  <si>
    <t>http://10.175.1.14:8090/controller/#/location=APP_BT_DETAIL&amp;timeRange=last_15_minutes.BEFORE_NOW.-1.-1.15&amp;application=12&amp;businessTransaction=151&amp;dashboardMode=force</t>
  </si>
  <si>
    <t>http://10.175.1.14:8090/controller/#/location=APP_BT_DETAIL&amp;timeRange=last_15_minutes.BEFORE_NOW.-1.-1.15&amp;application=12&amp;businessTransaction=108&amp;dashboardMode=force</t>
  </si>
  <si>
    <t>/inet/nyukai</t>
  </si>
  <si>
    <t>http://10.175.1.14:8090/controller/#/location=APP_BT_DETAIL&amp;timeRange=last_15_minutes.BEFORE_NOW.-1.-1.15&amp;application=12&amp;businessTransaction=212&amp;dashboardMode=force</t>
  </si>
  <si>
    <t>http://10.175.1.14:8090/controller/#/location=APP_BT_DETAIL&amp;timeRange=last_15_minutes.BEFORE_NOW.-1.-1.15&amp;application=12&amp;businessTransaction=107&amp;dashboardMode=force</t>
  </si>
  <si>
    <t>/net/nyukai</t>
  </si>
  <si>
    <t>http://10.175.1.14:8090/controller/#/location=APP_BT_DETAIL&amp;timeRange=last_15_minutes.BEFORE_NOW.-1.-1.15&amp;application=12&amp;businessTransaction=209&amp;dashboardMode=force</t>
  </si>
  <si>
    <t>/online/address</t>
  </si>
  <si>
    <t>http://10.175.1.14:8090/controller/#/location=APP_BT_DETAIL&amp;timeRange=last_15_minutes.BEFORE_NOW.-1.-1.15&amp;application=12&amp;businessTransaction=124&amp;dashboardMode=force</t>
  </si>
  <si>
    <t>/online/bank</t>
  </si>
  <si>
    <t>http://10.175.1.14:8090/controller/#/location=APP_BT_DETAIL&amp;timeRange=last_15_minutes.BEFORE_NOW.-1.-1.15&amp;application=12&amp;businessTransaction=130&amp;dashboardMode=force</t>
  </si>
  <si>
    <t>/online/bank_btmu.jsp</t>
  </si>
  <si>
    <t>http://10.175.1.14:8090/controller/#/location=APP_BT_DETAIL&amp;timeRange=last_15_minutes.BEFORE_NOW.-1.-1.15&amp;application=12&amp;businessTransaction=131&amp;dashboardMode=force</t>
  </si>
  <si>
    <t>/online/bank_kfgw.jsp</t>
  </si>
  <si>
    <t>http://10.175.1.14:8090/controller/#/location=APP_BT_DETAIL&amp;timeRange=last_15_minutes.BEFORE_NOW.-1.-1.15&amp;application=12&amp;businessTransaction=138&amp;dashboardMode=force</t>
  </si>
  <si>
    <t>/online/bank_mhbk.jsp</t>
  </si>
  <si>
    <t>http://10.175.1.14:8090/controller/#/location=APP_BT_DETAIL&amp;timeRange=last_15_minutes.BEFORE_NOW.-1.-1.15&amp;application=12&amp;businessTransaction=136&amp;dashboardMode=force</t>
  </si>
  <si>
    <t>/online/branch</t>
  </si>
  <si>
    <t>http://10.175.1.14:8090/controller/#/location=APP_BT_DETAIL&amp;timeRange=last_15_minutes.BEFORE_NOW.-1.-1.15&amp;application=12&amp;businessTransaction=129&amp;dashboardMode=force</t>
  </si>
  <si>
    <t>/online/entry</t>
  </si>
  <si>
    <t>http://10.175.1.14:8090/controller/#/location=APP_BT_DETAIL&amp;timeRange=last_15_minutes.BEFORE_NOW.-1.-1.15&amp;application=12&amp;businessTransaction=116&amp;dashboardMode=force</t>
  </si>
  <si>
    <t>/online/error</t>
  </si>
  <si>
    <t>http://10.175.1.14:8090/controller/#/location=APP_BT_DETAIL&amp;timeRange=last_15_minutes.BEFORE_NOW.-1.-1.15&amp;application=12&amp;businessTransaction=123&amp;dashboardMode=force</t>
  </si>
  <si>
    <t>/online/inquiry</t>
  </si>
  <si>
    <t>http://10.175.1.14:8090/controller/#/location=APP_BT_DETAIL&amp;timeRange=last_15_minutes.BEFORE_NOW.-1.-1.15&amp;application=12&amp;businessTransaction=97&amp;dashboardMode=force</t>
  </si>
  <si>
    <t>/online/test</t>
  </si>
  <si>
    <t>http://10.175.1.14:8090/controller/#/location=APP_BT_DETAIL&amp;timeRange=last_15_minutes.BEFORE_NOW.-1.-1.15&amp;application=12&amp;businessTransaction=182&amp;dashboardMode=force</t>
  </si>
  <si>
    <t>/wins/inet</t>
  </si>
  <si>
    <t>http://10.175.1.14:8090/controller/#/location=APP_BT_DETAIL&amp;timeRange=last_15_minutes.BEFORE_NOW.-1.-1.15&amp;application=12&amp;businessTransaction=174&amp;dashboardMode=force</t>
  </si>
  <si>
    <t>/wins/inquiry</t>
  </si>
  <si>
    <t>http://10.175.1.14:8090/controller/#/location=APP_BT_DETAIL&amp;timeRange=last_15_minutes.BEFORE_NOW.-1.-1.15&amp;application=12&amp;businessTransaction=128&amp;dashboardMode=force</t>
  </si>
  <si>
    <t>/wins/login</t>
  </si>
  <si>
    <t>http://10.175.1.14:8090/controller/#/location=APP_BT_DETAIL&amp;timeRange=last_15_minutes.BEFORE_NOW.-1.-1.15&amp;application=12&amp;businessTransaction=125&amp;dashboardMode=force</t>
  </si>
  <si>
    <t>/wins/password</t>
  </si>
  <si>
    <t>http://10.175.1.14:8090/controller/#/location=APP_BT_DETAIL&amp;timeRange=last_15_minutes.BEFORE_NOW.-1.-1.15&amp;application=12&amp;businessTransaction=127&amp;dashboardMode=force</t>
  </si>
  <si>
    <t>/wins/request</t>
  </si>
  <si>
    <t>http://10.175.1.14:8090/controller/#/location=APP_BT_DETAIL&amp;timeRange=last_15_minutes.BEFORE_NOW.-1.-1.15&amp;application=12&amp;businessTransaction=134&amp;dashboardMode=force</t>
  </si>
  <si>
    <t>/wins/reset</t>
  </si>
  <si>
    <t>http://10.175.1.14:8090/controller/#/location=APP_BT_DETAIL&amp;timeRange=last_15_minutes.BEFORE_NOW.-1.-1.15&amp;application=12&amp;businessTransaction=132&amp;dashboardMode=force</t>
  </si>
  <si>
    <t>/wins/select</t>
  </si>
  <si>
    <t>http://10.175.1.14:8090/controller/#/location=APP_BT_DETAIL&amp;timeRange=last_15_minutes.BEFORE_NOW.-1.-1.15&amp;application=12&amp;businessTransaction=126&amp;dashboardMode=force</t>
  </si>
  <si>
    <t>/wins/useradd</t>
  </si>
  <si>
    <t>http://10.175.1.14:8090/controller/#/location=APP_BT_DETAIL&amp;timeRange=last_15_minutes.BEFORE_NOW.-1.-1.15&amp;application=12&amp;businessTransaction=140&amp;dashboardMode=force</t>
  </si>
  <si>
    <t>/wins/userchange</t>
  </si>
  <si>
    <t>http://10.175.1.14:8090/controller/#/location=APP_BT_DETAIL&amp;timeRange=last_15_minutes.BEFORE_NOW.-1.-1.15&amp;application=12&amp;businessTransaction=142&amp;dashboardMode=force</t>
  </si>
  <si>
    <t>/wins/userdelete</t>
  </si>
  <si>
    <t>http://10.175.1.14:8090/controller/#/location=APP_BT_DETAIL&amp;timeRange=last_15_minutes.BEFORE_NOW.-1.-1.15&amp;application=12&amp;businessTransaction=152&amp;dashboardMode=force</t>
  </si>
  <si>
    <t>http://10.175.1.14:8090/controller/#/location=APP_BT_DETAIL&amp;timeRange=last_15_minutes.BEFORE_NOW.-1.-1.15&amp;application=12&amp;businessTransaction=96&amp;dashboardMode=force</t>
  </si>
  <si>
    <t>/connect/index.html</t>
  </si>
  <si>
    <t>http://10.175.1.14:8090/controller/#/location=APP_BT_DETAIL&amp;timeRange=last_15_minutes.BEFORE_NOW.-1.-1.15&amp;application=12&amp;businessTransaction=406&amp;dashboardMode=force</t>
  </si>
  <si>
    <t>http://10.175.1.14:8090/controller/#/location=APP_BT_DETAIL&amp;timeRange=last_15_minutes.BEFORE_NOW.-1.-1.15&amp;application=12&amp;businessTransaction=229&amp;dashboardMode=force</t>
  </si>
  <si>
    <t>http://10.175.1.14:8090/controller/#/location=APP_BT_DETAIL&amp;timeRange=last_15_minutes.BEFORE_NOW.-1.-1.15&amp;application=12&amp;businessTransaction=282&amp;dashboardMode=force</t>
  </si>
  <si>
    <t>http://10.175.1.14:8090/controller/#/location=APP_BT_DETAIL&amp;timeRange=last_15_minutes.BEFORE_NOW.-1.-1.15&amp;application=12&amp;businessTransaction=234&amp;dashboardMode=force</t>
  </si>
  <si>
    <t>http://10.175.1.14:8090/controller/#/location=APP_BT_DETAIL&amp;timeRange=last_15_minutes.BEFORE_NOW.-1.-1.15&amp;application=12&amp;businessTransaction=233&amp;dashboardMode=force</t>
  </si>
  <si>
    <t>/net/online</t>
  </si>
  <si>
    <t>http://10.175.1.14:8090/controller/#/location=APP_BT_DETAIL&amp;timeRange=last_15_minutes.BEFORE_NOW.-1.-1.15&amp;application=12&amp;businessTransaction=424&amp;dashboardMode=force</t>
  </si>
  <si>
    <t>http://10.175.1.14:8090/controller/#/location=APP_BT_DETAIL&amp;timeRange=last_15_minutes.BEFORE_NOW.-1.-1.15&amp;application=12&amp;businessTransaction=276&amp;dashboardMode=force</t>
  </si>
  <si>
    <t>/connect/api</t>
  </si>
  <si>
    <t>http://10.175.1.14:8090/controller/#/location=APP_BT_DETAIL&amp;timeRange=last_15_minutes.BEFORE_NOW.-1.-1.15&amp;application=12&amp;businessTransaction=169&amp;dashboardMode=force</t>
  </si>
  <si>
    <t>/connect/mobilewallet</t>
  </si>
  <si>
    <t>http://10.175.1.14:8090/controller/#/location=APP_BT_DETAIL&amp;timeRange=last_15_minutes.BEFORE_NOW.-1.-1.15&amp;application=12&amp;businessTransaction=317&amp;dashboardMode=force</t>
  </si>
  <si>
    <t>/connect/redirect</t>
  </si>
  <si>
    <t>http://10.175.1.14:8090/controller/#/location=APP_BT_DETAIL&amp;timeRange=last_15_minutes.BEFORE_NOW.-1.-1.15&amp;application=12&amp;businessTransaction=365&amp;dashboardMode=force</t>
  </si>
  <si>
    <t>http://10.175.1.14:8090/controller/#/location=APP_BT_DETAIL&amp;timeRange=last_15_minutes.BEFORE_NOW.-1.-1.15&amp;application=12&amp;businessTransaction=158&amp;dashboardMode=force</t>
  </si>
  <si>
    <t>http://10.175.1.14:8090/controller/#/location=APP_BT_DETAIL&amp;timeRange=last_15_minutes.BEFORE_NOW.-1.-1.15&amp;application=12&amp;businessTransaction=260&amp;dashboardMode=force</t>
  </si>
  <si>
    <t>http://10.175.1.14:8090/controller/#/location=APP_BT_DETAIL&amp;timeRange=last_15_minutes.BEFORE_NOW.-1.-1.15&amp;application=12&amp;businessTransaction=263&amp;dashboardMode=force</t>
  </si>
  <si>
    <t>http://10.175.1.14:8090/controller/#/location=APP_BT_DETAIL&amp;timeRange=last_15_minutes.BEFORE_NOW.-1.-1.15&amp;application=12&amp;businessTransaction=145&amp;dashboardMode=force</t>
  </si>
  <si>
    <t>/master/management</t>
  </si>
  <si>
    <t>http://10.175.1.14:8090/controller/#/location=APP_BT_DETAIL&amp;timeRange=last_15_minutes.BEFORE_NOW.-1.-1.15&amp;application=12&amp;businessTransaction=173&amp;dashboardMode=force</t>
  </si>
  <si>
    <t>/ondelay/odcontrol</t>
  </si>
  <si>
    <t>http://10.175.1.14:8090/controller/#/location=APP_BT_DETAIL&amp;timeRange=last_15_minutes.BEFORE_NOW.-1.-1.15&amp;application=12&amp;businessTransaction=149&amp;dashboardMode=force</t>
  </si>
  <si>
    <t>/remote/article</t>
  </si>
  <si>
    <t>http://10.175.1.14:8090/controller/#/location=APP_BT_DETAIL&amp;timeRange=last_15_minutes.BEFORE_NOW.-1.-1.15&amp;application=12&amp;businessTransaction=391&amp;dashboardMode=force</t>
  </si>
  <si>
    <t>/remote/articledownload</t>
  </si>
  <si>
    <t>http://10.175.1.14:8090/controller/#/location=APP_BT_DETAIL&amp;timeRange=last_15_minutes.BEFORE_NOW.-1.-1.15&amp;application=12&amp;businessTransaction=387&amp;dashboardMode=force</t>
  </si>
  <si>
    <t>/remote/backnumber</t>
  </si>
  <si>
    <t>http://10.175.1.14:8090/controller/#/location=APP_BT_DETAIL&amp;timeRange=last_15_minutes.BEFORE_NOW.-1.-1.15&amp;application=12&amp;businessTransaction=388&amp;dashboardMode=force</t>
  </si>
  <si>
    <t>/remote/download</t>
  </si>
  <si>
    <t>http://10.175.1.14:8090/controller/#/location=APP_BT_DETAIL&amp;timeRange=last_15_minutes.BEFORE_NOW.-1.-1.15&amp;application=12&amp;businessTransaction=389&amp;dashboardMode=force</t>
  </si>
  <si>
    <t>/remote/error_address_file_download</t>
  </si>
  <si>
    <t>http://10.175.1.14:8090/controller/#/location=APP_BT_DETAIL&amp;timeRange=last_15_minutes.BEFORE_NOW.-1.-1.15&amp;application=12&amp;businessTransaction=394&amp;dashboardMode=force</t>
  </si>
  <si>
    <t>/remote/error_address_file_export</t>
  </si>
  <si>
    <t>http://10.175.1.14:8090/controller/#/location=APP_BT_DETAIL&amp;timeRange=last_15_minutes.BEFORE_NOW.-1.-1.15&amp;application=12&amp;businessTransaction=392&amp;dashboardMode=force</t>
  </si>
  <si>
    <t>/remote/error_address_file_export_status</t>
  </si>
  <si>
    <t>http://10.175.1.14:8090/controller/#/location=APP_BT_DETAIL&amp;timeRange=last_15_minutes.BEFORE_NOW.-1.-1.15&amp;application=12&amp;businessTransaction=393&amp;dashboardMode=force</t>
  </si>
  <si>
    <t>/remote/status</t>
  </si>
  <si>
    <t>http://10.175.1.14:8090/controller/#/location=APP_BT_DETAIL&amp;timeRange=last_15_minutes.BEFORE_NOW.-1.-1.15&amp;application=12&amp;businessTransaction=319&amp;dashboardMode=force</t>
  </si>
  <si>
    <t>/remote/upload</t>
  </si>
  <si>
    <t>http://10.175.1.14:8090/controller/#/location=APP_BT_DETAIL&amp;timeRange=last_15_minutes.BEFORE_NOW.-1.-1.15&amp;application=12&amp;businessTransaction=390&amp;dashboardMode=force</t>
  </si>
  <si>
    <t>http://10.175.1.14:8090/controller/#/location=APP_BT_DETAIL&amp;timeRange=last_15_minutes.BEFORE_NOW.-1.-1.15&amp;application=12&amp;businessTransaction=143&amp;dashboardMode=force</t>
  </si>
  <si>
    <t>TougouWebLogin</t>
  </si>
  <si>
    <t>http://10.175.1.14:8090/controller/#/location=APP_BT_DETAIL&amp;timeRange=last_15_minutes.BEFORE_NOW.-1.-1.15&amp;application=12&amp;businessTransaction=481&amp;dashboardMode=force</t>
  </si>
  <si>
    <t>http://10.175.1.14:8090/controller/#/location=APP_BT_DETAIL&amp;timeRange=last_15_minutes.BEFORE_NOW.-1.-1.15&amp;application=12&amp;businessTransaction=204&amp;dashboardMode=force</t>
  </si>
  <si>
    <t>http://10.175.1.14:8090/controller/#/location=APP_BT_DETAIL&amp;timeRange=last_15_minutes.BEFORE_NOW.-1.-1.15&amp;application=12&amp;businessTransaction=207&amp;dashboardMode=force</t>
  </si>
  <si>
    <t>http://10.175.1.14:8090/controller/#/location=APP_BT_DETAIL&amp;timeRange=last_15_minutes.BEFORE_NOW.-1.-1.15&amp;application=12&amp;businessTransaction=195&amp;dashboardMode=force</t>
  </si>
  <si>
    <t>http://10.175.1.14:8090/controller/#/location=APP_BT_DETAIL&amp;timeRange=last_15_minutes.BEFORE_NOW.-1.-1.15&amp;application=12&amp;businessTransaction=200&amp;dashboardMode=force</t>
  </si>
  <si>
    <t>http://10.175.1.14:8090/controller/#/location=APP_BT_DETAIL&amp;timeRange=last_15_minutes.BEFORE_NOW.-1.-1.15&amp;application=12&amp;businessTransaction=482&amp;dashboardMode=force</t>
  </si>
  <si>
    <t>http://10.175.1.14:8090/controller/#/location=APP_BT_DETAIL&amp;timeRange=last_15_minutes.BEFORE_NOW.-1.-1.15&amp;application=12&amp;businessTransaction=219&amp;dashboardMode=force</t>
  </si>
  <si>
    <t>http://10.175.1.14:8090/controller/#/location=APP_BT_DETAIL&amp;timeRange=last_15_minutes.BEFORE_NOW.-1.-1.15&amp;application=12&amp;businessTransaction=208&amp;dashboardMode=force</t>
  </si>
  <si>
    <t>http://10.175.1.14:8090/controller/#/location=APP_BT_DETAIL&amp;timeRange=last_15_minutes.BEFORE_NOW.-1.-1.15&amp;application=12&amp;businessTransaction=196&amp;dashboardMode=force</t>
  </si>
  <si>
    <t>/stub/dummy</t>
  </si>
  <si>
    <t>http://10.175.1.14:8090/controller/#/location=APP_BT_DETAIL&amp;timeRange=last_15_minutes.BEFORE_NOW.-1.-1.15&amp;application=12&amp;businessTransaction=205&amp;dashboardMode=force</t>
  </si>
  <si>
    <t>http://10.175.1.14:8090/controller/#/location=APP_BT_DETAIL&amp;timeRange=last_15_minutes.BEFORE_NOW.-1.-1.15&amp;application=12&amp;businessTransaction=201&amp;dashboardMode=force</t>
  </si>
  <si>
    <t>http://10.175.1.14:8090/controller/#/location=APP_BT_DETAIL&amp;timeRange=last_15_minutes.BEFORE_NOW.-1.-1.15&amp;application=12&amp;businessTransaction=480&amp;dashboardMode=force</t>
  </si>
  <si>
    <t>/health_check.php</t>
  </si>
  <si>
    <t>PHP_WEB</t>
  </si>
  <si>
    <t>http://10.175.1.14:8090/controller/#/location=APP_BT_DETAIL&amp;timeRange=last_15_minutes.BEFORE_NOW.-1.-1.15&amp;application=12&amp;businessTransaction=336&amp;dashboardMode=force</t>
  </si>
  <si>
    <t>/index.html</t>
  </si>
  <si>
    <t>http://10.175.1.14:8090/controller/#/location=APP_BT_DETAIL&amp;timeRange=last_15_minutes.BEFORE_NOW.-1.-1.15&amp;application=12&amp;businessTransaction=441&amp;dashboardMode=force</t>
  </si>
  <si>
    <t>/index.php</t>
  </si>
  <si>
    <t>http://10.175.1.14:8090/controller/#/location=APP_BT_DETAIL&amp;timeRange=last_15_minutes.BEFORE_NOW.-1.-1.15&amp;application=12&amp;businessTransaction=479&amp;dashboardMode=force</t>
  </si>
  <si>
    <t>/login.html</t>
  </si>
  <si>
    <t>http://10.175.1.14:8090/controller/#/location=APP_BT_DETAIL&amp;timeRange=last_15_minutes.BEFORE_NOW.-1.-1.15&amp;application=12&amp;businessTransaction=442&amp;dashboardMode=force</t>
  </si>
  <si>
    <t>/newsplus</t>
  </si>
  <si>
    <t>http://10.175.1.14:8090/controller/#/location=APP_BT_DETAIL&amp;timeRange=last_15_minutes.BEFORE_NOW.-1.-1.15&amp;application=12&amp;businessTransaction=434&amp;dashboardMode=force</t>
  </si>
  <si>
    <t>/newsplus/</t>
  </si>
  <si>
    <t>http://10.175.1.14:8090/controller/#/location=APP_BT_DETAIL&amp;timeRange=last_15_minutes.BEFORE_NOW.-1.-1.15&amp;application=12&amp;businessTransaction=92&amp;dashboardMode=force</t>
  </si>
  <si>
    <t>/newsplus/about.html</t>
  </si>
  <si>
    <t>http://10.175.1.14:8090/controller/#/location=APP_BT_DETAIL&amp;timeRange=last_15_minutes.BEFORE_NOW.-1.-1.15&amp;application=12&amp;businessTransaction=253&amp;dashboardMode=force</t>
  </si>
  <si>
    <t>/newsplus/alliance.html</t>
  </si>
  <si>
    <t>http://10.175.1.14:8090/controller/#/location=APP_BT_DETAIL&amp;timeRange=last_15_minutes.BEFORE_NOW.-1.-1.15&amp;application=12&amp;businessTransaction=247&amp;dashboardMode=force</t>
  </si>
  <si>
    <t>/newsplus/amex</t>
  </si>
  <si>
    <t>http://10.175.1.14:8090/controller/#/location=APP_BT_DETAIL&amp;timeRange=last_15_minutes.BEFORE_NOW.-1.-1.15&amp;application=12&amp;businessTransaction=295&amp;dashboardMode=force</t>
  </si>
  <si>
    <t>/newsplus/brandselect.html</t>
  </si>
  <si>
    <t>http://10.175.1.14:8090/controller/#/location=APP_BT_DETAIL&amp;timeRange=last_15_minutes.BEFORE_NOW.-1.-1.15&amp;application=12&amp;businessTransaction=264&amp;dashboardMode=force</t>
  </si>
  <si>
    <t>/newsplus/campaign</t>
  </si>
  <si>
    <t>http://10.175.1.14:8090/controller/#/location=APP_BT_DETAIL&amp;timeRange=last_15_minutes.BEFORE_NOW.-1.-1.15&amp;application=12&amp;businessTransaction=117&amp;dashboardMode=force</t>
  </si>
  <si>
    <t>/newsplus/campaign.html</t>
  </si>
  <si>
    <t>http://10.175.1.14:8090/controller/#/location=APP_BT_DETAIL&amp;timeRange=last_15_minutes.BEFORE_NOW.-1.-1.15&amp;application=12&amp;businessTransaction=274&amp;dashboardMode=force</t>
  </si>
  <si>
    <t>/newsplus/campaign_coupon_completed.html</t>
  </si>
  <si>
    <t>http://10.175.1.14:8090/controller/#/location=APP_BT_DETAIL&amp;timeRange=last_15_minutes.BEFORE_NOW.-1.-1.15&amp;application=12&amp;businessTransaction=299&amp;dashboardMode=force</t>
  </si>
  <si>
    <t>/newsplus/common_err</t>
  </si>
  <si>
    <t>http://10.175.1.14:8090/controller/#/location=APP_BT_DETAIL&amp;timeRange=last_15_minutes.BEFORE_NOW.-1.-1.15&amp;application=12&amp;businessTransaction=395&amp;dashboardMode=force</t>
  </si>
  <si>
    <t>/newsplus/coupon</t>
  </si>
  <si>
    <t>http://10.175.1.14:8090/controller/#/location=APP_BT_DETAIL&amp;timeRange=last_15_minutes.BEFORE_NOW.-1.-1.15&amp;application=12&amp;businessTransaction=262&amp;dashboardMode=force</t>
  </si>
  <si>
    <t>/newsplus/ecshop</t>
  </si>
  <si>
    <t>http://10.175.1.14:8090/controller/#/location=APP_BT_DETAIL&amp;timeRange=last_15_minutes.BEFORE_NOW.-1.-1.15&amp;application=12&amp;businessTransaction=119&amp;dashboardMode=force</t>
  </si>
  <si>
    <t>/newsplus/ecshop.html</t>
  </si>
  <si>
    <t>http://10.175.1.14:8090/controller/#/location=APP_BT_DETAIL&amp;timeRange=last_15_minutes.BEFORE_NOW.-1.-1.15&amp;application=12&amp;businessTransaction=430&amp;dashboardMode=force</t>
  </si>
  <si>
    <t>/newsplus/error.html</t>
  </si>
  <si>
    <t>http://10.175.1.14:8090/controller/#/location=APP_BT_DETAIL&amp;timeRange=last_15_minutes.BEFORE_NOW.-1.-1.15&amp;application=12&amp;businessTransaction=194&amp;dashboardMode=force</t>
  </si>
  <si>
    <t>/newsplus/error_message.php</t>
  </si>
  <si>
    <t>http://10.175.1.14:8090/controller/#/location=APP_BT_DETAIL&amp;timeRange=last_15_minutes.BEFORE_NOW.-1.-1.15&amp;application=12&amp;businessTransaction=272&amp;dashboardMode=force</t>
  </si>
  <si>
    <t>/newsplus/health_check.php</t>
  </si>
  <si>
    <t>http://10.175.1.14:8090/controller/#/location=APP_BT_DETAIL&amp;timeRange=last_15_minutes.BEFORE_NOW.-1.-1.15&amp;application=12&amp;businessTransaction=245&amp;dashboardMode=force</t>
  </si>
  <si>
    <t>/newsplus/image</t>
  </si>
  <si>
    <t>http://10.175.1.14:8090/controller/#/location=APP_BT_DETAIL&amp;timeRange=last_15_minutes.BEFORE_NOW.-1.-1.15&amp;application=12&amp;businessTransaction=408&amp;dashboardMode=force</t>
  </si>
  <si>
    <t>/newsplus/index.html</t>
  </si>
  <si>
    <t>http://10.175.1.14:8090/controller/#/location=APP_BT_DETAIL&amp;timeRange=last_15_minutes.BEFORE_NOW.-1.-1.15&amp;application=12&amp;businessTransaction=112&amp;dashboardMode=force</t>
  </si>
  <si>
    <t>/newsplus/jra</t>
  </si>
  <si>
    <t>http://10.175.1.14:8090/controller/#/location=APP_BT_DETAIL&amp;timeRange=last_15_minutes.BEFORE_NOW.-1.-1.15&amp;application=12&amp;businessTransaction=271&amp;dashboardMode=force</t>
  </si>
  <si>
    <t>/newsplus/jra_send_stub.php</t>
  </si>
  <si>
    <t>http://10.175.1.14:8090/controller/#/location=APP_BT_DETAIL&amp;timeRange=last_15_minutes.BEFORE_NOW.-1.-1.15&amp;application=12&amp;businessTransaction=246&amp;dashboardMode=force</t>
  </si>
  <si>
    <t>/newsplus/leisure</t>
  </si>
  <si>
    <t>http://10.175.1.14:8090/controller/#/location=APP_BT_DETAIL&amp;timeRange=last_15_minutes.BEFORE_NOW.-1.-1.15&amp;application=12&amp;businessTransaction=122&amp;dashboardMode=force</t>
  </si>
  <si>
    <t>/newsplus/leisure.html</t>
  </si>
  <si>
    <t>http://10.175.1.14:8090/controller/#/location=APP_BT_DETAIL&amp;timeRange=last_15_minutes.BEFORE_NOW.-1.-1.15&amp;application=12&amp;businessTransaction=358&amp;dashboardMode=force</t>
  </si>
  <si>
    <t>/newsplus/library</t>
  </si>
  <si>
    <t>http://10.175.1.14:8090/controller/#/location=APP_BT_DETAIL&amp;timeRange=last_15_minutes.BEFORE_NOW.-1.-1.15&amp;application=12&amp;businessTransaction=192&amp;dashboardMode=force</t>
  </si>
  <si>
    <t>/newsplus/login.html</t>
  </si>
  <si>
    <t>http://10.175.1.14:8090/controller/#/location=APP_BT_DETAIL&amp;timeRange=last_15_minutes.BEFORE_NOW.-1.-1.15&amp;application=12&amp;businessTransaction=301&amp;dashboardMode=force</t>
  </si>
  <si>
    <t>/newsplus/loginaction.html</t>
  </si>
  <si>
    <t>http://10.175.1.14:8090/controller/#/location=APP_BT_DETAIL&amp;timeRange=last_15_minutes.BEFORE_NOW.-1.-1.15&amp;application=12&amp;businessTransaction=179&amp;dashboardMode=force</t>
  </si>
  <si>
    <t>/newsplus/logout.html</t>
  </si>
  <si>
    <t>http://10.175.1.14:8090/controller/#/location=APP_BT_DETAIL&amp;timeRange=last_15_minutes.BEFORE_NOW.-1.-1.15&amp;application=12&amp;businessTransaction=258&amp;dashboardMode=force</t>
  </si>
  <si>
    <t>/newsplus/mypage.html</t>
  </si>
  <si>
    <t>http://10.175.1.14:8090/controller/#/location=APP_BT_DETAIL&amp;timeRange=last_15_minutes.BEFORE_NOW.-1.-1.15&amp;application=12&amp;businessTransaction=397&amp;dashboardMode=force</t>
  </si>
  <si>
    <t>/newsplus/page_preview</t>
  </si>
  <si>
    <t>http://10.175.1.14:8090/controller/#/location=APP_BT_DETAIL&amp;timeRange=last_15_minutes.BEFORE_NOW.-1.-1.15&amp;application=12&amp;businessTransaction=325&amp;dashboardMode=force</t>
  </si>
  <si>
    <t>/newsplus/pointmeijin</t>
  </si>
  <si>
    <t>http://10.175.1.14:8090/controller/#/location=APP_BT_DETAIL&amp;timeRange=last_15_minutes.BEFORE_NOW.-1.-1.15&amp;application=12&amp;businessTransaction=380&amp;dashboardMode=force</t>
  </si>
  <si>
    <t>/newsplus/reset.php</t>
  </si>
  <si>
    <t>http://10.175.1.14:8090/controller/#/location=APP_BT_DETAIL&amp;timeRange=last_15_minutes.BEFORE_NOW.-1.-1.15&amp;application=12&amp;businessTransaction=289&amp;dashboardMode=force</t>
  </si>
  <si>
    <t>/newsplus/reset_cache.php</t>
  </si>
  <si>
    <t>http://10.175.1.14:8090/controller/#/location=APP_BT_DETAIL&amp;timeRange=last_15_minutes.BEFORE_NOW.-1.-1.15&amp;application=12&amp;businessTransaction=181&amp;dashboardMode=force</t>
  </si>
  <si>
    <t>/newsplus/reset_css.php</t>
  </si>
  <si>
    <t>http://10.175.1.14:8090/controller/#/location=APP_BT_DETAIL&amp;timeRange=last_15_minutes.BEFORE_NOW.-1.-1.15&amp;application=12&amp;businessTransaction=280&amp;dashboardMode=force</t>
  </si>
  <si>
    <t>/newsplus/reset_date.php</t>
  </si>
  <si>
    <t>http://10.175.1.14:8090/controller/#/location=APP_BT_DETAIL&amp;timeRange=last_15_minutes.BEFORE_NOW.-1.-1.15&amp;application=12&amp;businessTransaction=231&amp;dashboardMode=force</t>
  </si>
  <si>
    <t>/newsplus/reset_library.php</t>
  </si>
  <si>
    <t>http://10.175.1.14:8090/controller/#/location=APP_BT_DETAIL&amp;timeRange=last_15_minutes.BEFORE_NOW.-1.-1.15&amp;application=12&amp;businessTransaction=248&amp;dashboardMode=force</t>
  </si>
  <si>
    <t>/newsplus/reset_plugin.php</t>
  </si>
  <si>
    <t>http://10.175.1.14:8090/controller/#/location=APP_BT_DETAIL&amp;timeRange=last_15_minutes.BEFORE_NOW.-1.-1.15&amp;application=12&amp;businessTransaction=284&amp;dashboardMode=force</t>
  </si>
  <si>
    <t>/newsplus/reset_redirectmap.php</t>
  </si>
  <si>
    <t>http://10.175.1.14:8090/controller/#/location=APP_BT_DETAIL&amp;timeRange=last_15_minutes.BEFORE_NOW.-1.-1.15&amp;application=12&amp;businessTransaction=285&amp;dashboardMode=force</t>
  </si>
  <si>
    <t>/newsplus/reset_rss.php</t>
  </si>
  <si>
    <t>http://10.175.1.14:8090/controller/#/location=APP_BT_DETAIL&amp;timeRange=last_15_minutes.BEFORE_NOW.-1.-1.15&amp;application=12&amp;businessTransaction=287&amp;dashboardMode=force</t>
  </si>
  <si>
    <t>/newsplus/reset_template.php</t>
  </si>
  <si>
    <t>http://10.175.1.14:8090/controller/#/location=APP_BT_DETAIL&amp;timeRange=last_15_minutes.BEFORE_NOW.-1.-1.15&amp;application=12&amp;businessTransaction=288&amp;dashboardMode=force</t>
  </si>
  <si>
    <t>/newsplus/rwd</t>
  </si>
  <si>
    <t>http://10.175.1.14:8090/controller/#/location=APP_BT_DETAIL&amp;timeRange=last_15_minutes.BEFORE_NOW.-1.-1.15&amp;application=12&amp;businessTransaction=407&amp;dashboardMode=force</t>
  </si>
  <si>
    <t>/newsplus/sample</t>
  </si>
  <si>
    <t>http://10.175.1.14:8090/controller/#/location=APP_BT_DETAIL&amp;timeRange=last_15_minutes.BEFORE_NOW.-1.-1.15&amp;application=12&amp;businessTransaction=348&amp;dashboardMode=force</t>
  </si>
  <si>
    <t>/newsplus/seamless</t>
  </si>
  <si>
    <t>http://10.175.1.14:8090/controller/#/location=APP_BT_DETAIL&amp;timeRange=last_15_minutes.BEFORE_NOW.-1.-1.15&amp;application=12&amp;businessTransaction=249&amp;dashboardMode=force</t>
  </si>
  <si>
    <t>/newsplus/seamless_login.html</t>
  </si>
  <si>
    <t>http://10.175.1.14:8090/controller/#/location=APP_BT_DETAIL&amp;timeRange=last_15_minutes.BEFORE_NOW.-1.-1.15&amp;application=12&amp;businessTransaction=294&amp;dashboardMode=force</t>
  </si>
  <si>
    <t>/newsplus/shop</t>
  </si>
  <si>
    <t>http://10.175.1.14:8090/controller/#/location=APP_BT_DETAIL&amp;timeRange=last_15_minutes.BEFORE_NOW.-1.-1.15&amp;application=12&amp;businessTransaction=121&amp;dashboardMode=force</t>
  </si>
  <si>
    <t>/newsplus/shop.html</t>
  </si>
  <si>
    <t>http://10.175.1.14:8090/controller/#/location=APP_BT_DETAIL&amp;timeRange=last_15_minutes.BEFORE_NOW.-1.-1.15&amp;application=12&amp;businessTransaction=252&amp;dashboardMode=force</t>
  </si>
  <si>
    <t>/newsplus/shopsearch_result.html</t>
  </si>
  <si>
    <t>http://10.175.1.14:8090/controller/#/location=APP_BT_DETAIL&amp;timeRange=last_15_minutes.BEFORE_NOW.-1.-1.15&amp;application=12&amp;businessTransaction=291&amp;dashboardMode=force</t>
  </si>
  <si>
    <t>/newsplus/syncDirectoryDst.php</t>
  </si>
  <si>
    <t>http://10.175.1.14:8090/controller/#/location=APP_BT_DETAIL&amp;timeRange=last_15_minutes.BEFORE_NOW.-1.-1.15&amp;application=12&amp;businessTransaction=414&amp;dashboardMode=force</t>
  </si>
  <si>
    <t>/newsplus/test.html</t>
  </si>
  <si>
    <t>http://10.175.1.14:8090/controller/#/location=APP_BT_DETAIL&amp;timeRange=last_15_minutes.BEFORE_NOW.-1.-1.15&amp;application=12&amp;businessTransaction=332&amp;dashboardMode=force</t>
  </si>
  <si>
    <t>/newsplus/tsp_send_stub.php</t>
  </si>
  <si>
    <t>http://10.175.1.14:8090/controller/#/location=APP_BT_DETAIL&amp;timeRange=last_15_minutes.BEFORE_NOW.-1.-1.15&amp;application=12&amp;businessTransaction=345&amp;dashboardMode=force</t>
  </si>
  <si>
    <t>/newsplus/var</t>
  </si>
  <si>
    <t>http://10.175.1.14:8090/controller/#/location=APP_BT_DETAIL&amp;timeRange=last_15_minutes.BEFORE_NOW.-1.-1.15&amp;application=12&amp;businessTransaction=236&amp;dashboardMode=force</t>
  </si>
  <si>
    <t>/newsplus/view.php</t>
  </si>
  <si>
    <t>http://10.175.1.14:8090/controller/#/location=APP_BT_DETAIL&amp;timeRange=last_15_minutes.BEFORE_NOW.-1.-1.15&amp;application=12&amp;businessTransaction=226&amp;dashboardMode=force</t>
  </si>
  <si>
    <t>/newsplus/view_css.php</t>
  </si>
  <si>
    <t>http://10.175.1.14:8090/controller/#/location=APP_BT_DETAIL&amp;timeRange=last_15_minutes.BEFORE_NOW.-1.-1.15&amp;application=12&amp;businessTransaction=93&amp;dashboardMode=force</t>
  </si>
  <si>
    <t>/newsplus/view_interface.php</t>
  </si>
  <si>
    <t>http://10.175.1.14:8090/controller/#/location=APP_BT_DETAIL&amp;timeRange=last_15_minutes.BEFORE_NOW.-1.-1.15&amp;application=12&amp;businessTransaction=267&amp;dashboardMode=force</t>
  </si>
  <si>
    <t>/newsplus/view_memcached.php</t>
  </si>
  <si>
    <t>http://10.175.1.14:8090/controller/#/location=APP_BT_DETAIL&amp;timeRange=last_15_minutes.BEFORE_NOW.-1.-1.15&amp;application=12&amp;businessTransaction=88&amp;dashboardMode=force</t>
  </si>
  <si>
    <t>http://10.175.1.14:8090/controller/#/location=APP_BT_DETAIL&amp;timeRange=last_15_minutes.BEFORE_NOW.-1.-1.15&amp;application=12&amp;businessTransaction=90&amp;dashboardMode=force</t>
  </si>
  <si>
    <t>http://10.175.1.14:8090/controller/#/location=APP_BT_DETAIL&amp;timeRange=last_15_minutes.BEFORE_NOW.-1.-1.15&amp;application=12&amp;businessTransaction=433&amp;dashboardMode=force</t>
  </si>
  <si>
    <t>Newsplus</t>
  </si>
  <si>
    <t>http://10.175.1.14:8090/controller/#/location=APP_BT_DETAIL&amp;timeRange=last_15_minutes.BEFORE_NOW.-1.-1.15&amp;application=12&amp;businessTransaction=431&amp;dashboardMode=force</t>
  </si>
  <si>
    <t>/bea_wls_internal/classes</t>
  </si>
  <si>
    <t>http://10.175.1.14:8090/controller/#/location=APP_BT_DETAIL&amp;timeRange=last_15_minutes.BEFORE_NOW.-1.-1.15&amp;application=12&amp;businessTransaction=426&amp;dashboardMode=force</t>
  </si>
  <si>
    <t>http://10.175.1.14:8090/controller/#/location=APP_BT_DETAIL&amp;timeRange=last_15_minutes.BEFORE_NOW.-1.-1.15&amp;application=12&amp;businessTransaction=100&amp;dashboardMode=force</t>
  </si>
  <si>
    <t>http://10.175.1.14:8090/controller/#/location=APP_BT_DETAIL&amp;timeRange=last_15_minutes.BEFORE_NOW.-1.-1.15&amp;application=12&amp;businessTransaction=582&amp;dashboardMode=force</t>
  </si>
  <si>
    <t>FEP通信</t>
  </si>
  <si>
    <t>http://10.175.1.14:8090/controller/#/location=APP_BT_DETAIL&amp;timeRange=last_15_minutes.BEFORE_NOW.-1.-1.15&amp;application=12&amp;businessTransaction=483&amp;dashboardMode=force</t>
  </si>
  <si>
    <t>/ondelay/HealthMonitor</t>
  </si>
  <si>
    <t>http://10.175.1.14:8090/controller/#/location=APP_BT_DETAIL&amp;timeRange=last_15_minutes.BEFORE_NOW.-1.-1.15&amp;application=12&amp;businessTransaction=228&amp;dashboardMode=force</t>
  </si>
  <si>
    <t>http://10.175.1.14:8090/controller/#/location=APP_BT_DETAIL&amp;timeRange=last_15_minutes.BEFORE_NOW.-1.-1.15&amp;application=12&amp;businessTransaction=185&amp;dashboardMode=force</t>
  </si>
  <si>
    <t>http://10.175.1.14:8090/controller/#/location=APP_BT_DETAIL&amp;timeRange=last_15_minutes.BEFORE_NOW.-1.-1.15&amp;application=12&amp;businessTransaction=702&amp;dashboardMode=force</t>
  </si>
  <si>
    <t>/net/</t>
  </si>
  <si>
    <t>http://10.175.1.14:8090/controller/#/location=APP_BT_DETAIL&amp;timeRange=last_15_minutes.BEFORE_NOW.-1.-1.15&amp;application=12&amp;businessTransaction=772&amp;dashboardMode=force</t>
  </si>
  <si>
    <t>http://10.175.1.14:8090/controller/#/location=APP_BT_DETAIL&amp;timeRange=last_15_minutes.BEFORE_NOW.-1.-1.15&amp;application=12&amp;businessTransaction=793&amp;dashboardMode=force</t>
  </si>
  <si>
    <t>http://10.175.1.14:8090/controller/#/location=APP_BT_DETAIL&amp;timeRange=last_15_minutes.BEFORE_NOW.-1.-1.15&amp;application=12&amp;businessTransaction=620&amp;dashboardMode=force</t>
  </si>
  <si>
    <t>/.POST</t>
  </si>
  <si>
    <t>WEB_SERVICE</t>
  </si>
  <si>
    <t>http://10.175.1.14:8090/controller/#/location=APP_BT_DETAIL&amp;timeRange=last_15_minutes.BEFORE_NOW.-1.-1.15&amp;application=12&amp;businessTransaction=778&amp;dashboardMode=force</t>
  </si>
  <si>
    <t>http://10.175.1.14:8090/controller/#/location=APP_BT_DETAIL&amp;timeRange=last_15_minutes.BEFORE_NOW.-1.-1.15&amp;application=12&amp;businessTransaction=700&amp;dashboardMode=force</t>
  </si>
  <si>
    <t>/modules/</t>
  </si>
  <si>
    <t>http://10.175.1.14:8090/controller/#/location=APP_BT_DETAIL&amp;timeRange=last_15_minutes.BEFORE_NOW.-1.-1.15&amp;application=12&amp;businessTransaction=776&amp;dashboardMode=force</t>
  </si>
  <si>
    <t>http://10.175.1.14:8090/controller/#/location=APP_BT_DETAIL&amp;timeRange=last_15_minutes.BEFORE_NOW.-1.-1.15&amp;application=12&amp;businessTransaction=783&amp;dashboardMode=force</t>
  </si>
  <si>
    <t>/wins/WEB-INF</t>
  </si>
  <si>
    <t>http://10.175.1.14:8090/controller/#/location=APP_BT_DETAIL&amp;timeRange=last_15_minutes.BEFORE_NOW.-1.-1.15&amp;application=12&amp;businessTransaction=779&amp;dashboardMode=force</t>
  </si>
  <si>
    <t>http://10.175.1.14:8090/controller/#/location=APP_BT_DETAIL&amp;timeRange=last_15_minutes.BEFORE_NOW.-1.-1.15&amp;application=12&amp;businessTransaction=621&amp;dashboardMode=force</t>
  </si>
  <si>
    <t>http://10.175.1.14:8090/controller/#/location=APP_BT_DETAIL&amp;timeRange=last_15_minutes.BEFORE_NOW.-1.-1.15&amp;application=12&amp;businessTransaction=789&amp;dashboardMode=force</t>
  </si>
  <si>
    <t>http://10.175.1.14:8090/controller/#/location=APP_BT_DETAIL&amp;timeRange=last_15_minutes.BEFORE_NOW.-1.-1.15&amp;application=12&amp;businessTransaction=623&amp;dashboardMode=force</t>
  </si>
  <si>
    <t>http://10.175.1.14:8090/controller/#/location=APP_BT_DETAIL&amp;timeRange=last_15_minutes.BEFORE_NOW.-1.-1.15&amp;application=12&amp;businessTransaction=699&amp;dashboardMode=force</t>
  </si>
  <si>
    <t>http://10.175.1.14:8090/controller/#/location=APP_BT_DETAIL&amp;timeRange=last_15_minutes.BEFORE_NOW.-1.-1.15&amp;application=12&amp;businessTransaction=785&amp;dashboardMode=force</t>
  </si>
  <si>
    <t>http://10.175.1.14:8090/controller/#/location=APP_BT_DETAIL&amp;timeRange=last_15_minutes.BEFORE_NOW.-1.-1.15&amp;application=12&amp;businessTransaction=622&amp;dashboardMode=force</t>
  </si>
  <si>
    <t>http://10.175.1.14:8090/controller/#/location=APP_BT_DETAIL&amp;timeRange=last_15_minutes.BEFORE_NOW.-1.-1.15&amp;application=12&amp;businessTransaction=627&amp;dashboardMode=force</t>
  </si>
  <si>
    <t>/connect/WEB-INF</t>
  </si>
  <si>
    <t>http://10.175.1.14:8090/controller/#/location=APP_BT_DETAIL&amp;timeRange=last_15_minutes.BEFORE_NOW.-1.-1.15&amp;application=12&amp;businessTransaction=784&amp;dashboardMode=force</t>
  </si>
  <si>
    <t>http://10.175.1.14:8090/controller/#/location=APP_BT_DETAIL&amp;timeRange=last_15_minutes.BEFORE_NOW.-1.-1.15&amp;application=12&amp;businessTransaction=696&amp;dashboardMode=force</t>
  </si>
  <si>
    <t>http://10.175.1.14:8090/controller/#/location=APP_BT_DETAIL&amp;timeRange=last_15_minutes.BEFORE_NOW.-1.-1.15&amp;application=12&amp;businessTransaction=624&amp;dashboardMode=force</t>
  </si>
  <si>
    <t>http://10.175.1.14:8090/controller/#/location=APP_BT_DETAIL&amp;timeRange=last_15_minutes.BEFORE_NOW.-1.-1.15&amp;application=12&amp;businessTransaction=626&amp;dashboardMode=force</t>
  </si>
  <si>
    <t>http://10.175.1.14:8090/controller/#/location=APP_BT_DETAIL&amp;timeRange=last_15_minutes.BEFORE_NOW.-1.-1.15&amp;application=12&amp;businessTransaction=926&amp;dashboardMode=force</t>
  </si>
  <si>
    <t>/authenticate/login</t>
  </si>
  <si>
    <t>http://10.175.1.14:8090/controller/#/location=APP_BT_DETAIL&amp;timeRange=last_15_minutes.BEFORE_NOW.-1.-1.15&amp;application=12&amp;businessTransaction=933&amp;dashboardMode=force</t>
  </si>
  <si>
    <t>/file</t>
  </si>
  <si>
    <t>http://10.175.1.14:8090/controller/#/location=APP_BT_DETAIL&amp;timeRange=last_15_minutes.BEFORE_NOW.-1.-1.15&amp;application=12&amp;businessTransaction=930&amp;dashboardMode=force</t>
  </si>
  <si>
    <t>/hc/error</t>
  </si>
  <si>
    <t>http://10.175.1.14:8090/controller/#/location=APP_BT_DETAIL&amp;timeRange=last_15_minutes.BEFORE_NOW.-1.-1.15&amp;application=12&amp;businessTransaction=932&amp;dashboardMode=force</t>
  </si>
  <si>
    <t>/html/nhome.html</t>
  </si>
  <si>
    <t>http://10.175.1.14:8090/controller/#/location=APP_BT_DETAIL&amp;timeRange=last_15_minutes.BEFORE_NOW.-1.-1.15&amp;application=12&amp;businessTransaction=927&amp;dashboardMode=force</t>
  </si>
  <si>
    <t>http://10.175.1.14:8090/controller/#/location=APP_BT_DETAIL&amp;timeRange=last_15_minutes.BEFORE_NOW.-1.-1.15&amp;application=12&amp;businessTransaction=929&amp;dashboardMode=force</t>
  </si>
  <si>
    <t>http://10.175.1.14:8090/controller/#/location=APP_BT_DETAIL&amp;timeRange=last_15_minutes.BEFORE_NOW.-1.-1.15&amp;application=12&amp;businessTransaction=712&amp;dashboardMode=force</t>
  </si>
  <si>
    <t>http://10.175.1.14:8090/controller/#/location=APP_BT_DETAIL&amp;timeRange=last_15_minutes.BEFORE_NOW.-1.-1.15&amp;application=12&amp;businessTransaction=895&amp;dashboardMode=force</t>
  </si>
  <si>
    <t>http://10.175.1.14:8090/controller/#/location=APP_BT_DETAIL&amp;timeRange=last_15_minutes.BEFORE_NOW.-1.-1.15&amp;application=12&amp;businessTransaction=904&amp;dashboardMode=force</t>
  </si>
  <si>
    <t>http://10.175.1.14:8090/controller/#/location=APP_BT_DETAIL&amp;timeRange=last_15_minutes.BEFORE_NOW.-1.-1.15&amp;application=12&amp;businessTransaction=906&amp;dashboardMode=force</t>
  </si>
  <si>
    <t>http://10.175.1.14:8090/controller/#/location=APP_BT_DETAIL&amp;timeRange=last_15_minutes.BEFORE_NOW.-1.-1.15&amp;application=12&amp;businessTransaction=907&amp;dashboardMode=force</t>
  </si>
  <si>
    <t>http://10.175.1.14:8090/controller/#/location=APP_BT_DETAIL&amp;timeRange=last_15_minutes.BEFORE_NOW.-1.-1.15&amp;application=12&amp;businessTransaction=905&amp;dashboardMode=force</t>
  </si>
  <si>
    <t>http://10.175.1.14:8090/controller/#/location=APP_BT_DETAIL&amp;timeRange=last_15_minutes.BEFORE_NOW.-1.-1.15&amp;application=12&amp;businessTransaction=724&amp;dashboardMode=force</t>
  </si>
  <si>
    <t>http://10.175.1.14:8090/controller/#/location=APP_BT_DETAIL&amp;timeRange=last_15_minutes.BEFORE_NOW.-1.-1.15&amp;application=12&amp;businessTransaction=925&amp;dashboardMode=force</t>
  </si>
  <si>
    <t>http://10.175.1.14:8090/controller/#/location=APP_BT_DETAIL&amp;timeRange=last_15_minutes.BEFORE_NOW.-1.-1.15&amp;application=12&amp;businessTransaction=687&amp;dashboardMode=force</t>
  </si>
  <si>
    <t>http://10.175.1.14:8090/controller/#/location=APP_BT_DETAIL&amp;timeRange=last_15_minutes.BEFORE_NOW.-1.-1.15&amp;application=12&amp;businessTransaction=898&amp;dashboardMode=force</t>
  </si>
  <si>
    <t>http://10.175.1.14:8090/controller/#/location=APP_BT_DETAIL&amp;timeRange=last_15_minutes.BEFORE_NOW.-1.-1.15&amp;application=12&amp;businessTransaction=768&amp;dashboardMode=force</t>
  </si>
  <si>
    <t>http://10.175.1.14:8090/controller/#/location=APP_BT_DETAIL&amp;timeRange=last_15_minutes.BEFORE_NOW.-1.-1.15&amp;application=12&amp;businessTransaction=903&amp;dashboardMode=force</t>
  </si>
  <si>
    <t>http://10.175.1.14:8090/controller/#/location=APP_BT_DETAIL&amp;timeRange=last_15_minutes.BEFORE_NOW.-1.-1.15&amp;application=12&amp;businessTransaction=894&amp;dashboardMode=force</t>
  </si>
  <si>
    <t>http://10.175.1.14:8090/controller/#/location=APP_BT_DETAIL&amp;timeRange=last_15_minutes.BEFORE_NOW.-1.-1.15&amp;application=12&amp;businessTransaction=689&amp;dashboardMode=force</t>
  </si>
  <si>
    <t>http://10.175.1.14:8090/controller/#/location=APP_BT_DETAIL&amp;timeRange=last_15_minutes.BEFORE_NOW.-1.-1.15&amp;application=12&amp;businessTransaction=896&amp;dashboardMode=force</t>
  </si>
  <si>
    <t>http://10.175.1.14:8090/controller/#/location=APP_BT_DETAIL&amp;timeRange=last_15_minutes.BEFORE_NOW.-1.-1.15&amp;application=12&amp;businessTransaction=691&amp;dashboardMode=force</t>
  </si>
  <si>
    <t>http://10.175.1.14:8090/controller/#/location=APP_BT_DETAIL&amp;timeRange=last_15_minutes.BEFORE_NOW.-1.-1.15&amp;application=12&amp;businessTransaction=719&amp;dashboardMode=force</t>
  </si>
  <si>
    <t>http://10.175.1.14:8090/controller/#/location=APP_BT_DETAIL&amp;timeRange=last_15_minutes.BEFORE_NOW.-1.-1.15&amp;application=12&amp;businessTransaction=721&amp;dashboardMode=force</t>
  </si>
  <si>
    <t>http://10.175.1.14:8090/controller/#/location=APP_BT_DETAIL&amp;timeRange=last_15_minutes.BEFORE_NOW.-1.-1.15&amp;application=12&amp;businessTransaction=722&amp;dashboardMode=force</t>
  </si>
  <si>
    <t>http://10.175.1.14:8090/controller/#/location=APP_BT_DETAIL&amp;timeRange=last_15_minutes.BEFORE_NOW.-1.-1.15&amp;application=12&amp;businessTransaction=899&amp;dashboardMode=force</t>
  </si>
  <si>
    <t>http://10.175.1.14:8090/controller/#/location=APP_BT_DETAIL&amp;timeRange=last_15_minutes.BEFORE_NOW.-1.-1.15&amp;application=12&amp;businessTransaction=723&amp;dashboardMode=force</t>
  </si>
  <si>
    <t>http://10.175.1.14:8090/controller/#/location=APP_BT_DETAIL&amp;timeRange=last_15_minutes.BEFORE_NOW.-1.-1.15&amp;application=12&amp;businessTransaction=902&amp;dashboardMode=force</t>
  </si>
  <si>
    <t>http://10.175.1.14:8090/controller/#/location=APP_BT_DETAIL&amp;timeRange=last_15_minutes.BEFORE_NOW.-1.-1.15&amp;application=12&amp;businessTransaction=912&amp;dashboardMode=force</t>
  </si>
  <si>
    <t>http://10.175.1.14:8090/controller/#/location=APP_BT_DETAIL&amp;timeRange=last_15_minutes.BEFORE_NOW.-1.-1.15&amp;application=12&amp;businessTransaction=788&amp;dashboardMode=force</t>
  </si>
  <si>
    <t>http://10.175.1.14:8090/controller/#/location=APP_BT_DETAIL&amp;timeRange=last_15_minutes.BEFORE_NOW.-1.-1.15&amp;application=12&amp;businessTransaction=716&amp;dashboardMode=force</t>
  </si>
  <si>
    <t>http://10.175.1.14:8090/controller/#/location=APP_BT_DETAIL&amp;timeRange=last_15_minutes.BEFORE_NOW.-1.-1.15&amp;application=12&amp;businessTransaction=686&amp;dashboardMode=force</t>
  </si>
  <si>
    <t>/servlet/SnoopServlet</t>
  </si>
  <si>
    <t>http://10.175.1.14:8090/controller/#/location=APP_BT_DETAIL&amp;timeRange=last_15_minutes.BEFORE_NOW.-1.-1.15&amp;application=12&amp;businessTransaction=931&amp;dashboardMode=force</t>
  </si>
  <si>
    <t>/SnoopServlet/</t>
  </si>
  <si>
    <t>http://10.175.1.14:8090/controller/#/location=APP_BT_DETAIL&amp;timeRange=last_15_minutes.BEFORE_NOW.-1.-1.15&amp;application=12&amp;businessTransaction=928&amp;dashboardMode=force</t>
  </si>
  <si>
    <t>/tmui/</t>
  </si>
  <si>
    <t>http://10.175.1.14:8090/controller/#/location=APP_BT_DETAIL&amp;timeRange=last_15_minutes.BEFORE_NOW.-1.-1.15&amp;application=12&amp;businessTransaction=934&amp;dashboardMode=force</t>
  </si>
  <si>
    <t>http://10.175.1.14:8090/controller/#/location=APP_BT_DETAIL&amp;timeRange=last_15_minutes.BEFORE_NOW.-1.-1.15&amp;application=12&amp;businessTransaction=618&amp;dashboardMode=force</t>
  </si>
  <si>
    <t>http://10.175.1.14:8090/controller/#/location=APP_BT_DETAIL&amp;timeRange=last_15_minutes.BEFORE_NOW.-1.-1.15&amp;application=12&amp;businessTransaction=718&amp;dashboardMode=force</t>
  </si>
  <si>
    <t>http://10.175.1.14:8090/controller/#/location=APP_BT_DETAIL&amp;timeRange=last_15_minutes.BEFORE_NOW.-1.-1.15&amp;application=12&amp;businessTransaction=706&amp;dashboardMode=force</t>
  </si>
  <si>
    <t>http://10.175.1.14:8090/controller/#/location=APP_BT_DETAIL&amp;timeRange=last_15_minutes.BEFORE_NOW.-1.-1.15&amp;application=12&amp;businessTransaction=625&amp;dashboardMode=force</t>
  </si>
  <si>
    <t>http://10.175.1.14:8090/controller/#/location=APP_BT_DETAIL&amp;timeRange=last_15_minutes.BEFORE_NOW.-1.-1.15&amp;application=12&amp;businessTransaction=698&amp;dashboardMode=force</t>
  </si>
  <si>
    <t>http://10.175.1.14:8090/controller/#/location=APP_BT_DETAIL&amp;timeRange=last_15_minutes.BEFORE_NOW.-1.-1.15&amp;application=12&amp;businessTransaction=693&amp;dashboardMode=force</t>
  </si>
  <si>
    <t>http://10.175.1.14:8090/controller/#/location=APP_BT_DETAIL&amp;timeRange=last_15_minutes.BEFORE_NOW.-1.-1.15&amp;application=12&amp;businessTransaction=714&amp;dashboardMode=force</t>
  </si>
  <si>
    <t>http://10.175.1.14:8090/controller/#/location=APP_BT_DETAIL&amp;timeRange=last_15_minutes.BEFORE_NOW.-1.-1.15&amp;application=12&amp;businessTransaction=619&amp;dashboardMode=force</t>
  </si>
  <si>
    <t>Type of SEPs</t>
  </si>
  <si>
    <t>Location of SEPs</t>
  </si>
  <si>
    <t>SEPName</t>
  </si>
  <si>
    <t>SEPType</t>
  </si>
  <si>
    <t>SEPID</t>
  </si>
  <si>
    <t>SEPLink</t>
  </si>
  <si>
    <t>http://10.175.1.14:8090/controller/#/location=APP_SERVICE_ENDPOINT_DETAIL&amp;timeRange=last_15_minutes.BEFORE_NOW.-1.-1.15&amp;application=12&amp;component=42&amp;serviceEndpoint=149</t>
  </si>
  <si>
    <t>http://10.175.1.14:8090/controller/#/location=APP_SERVICE_ENDPOINT_DETAIL&amp;timeRange=last_15_minutes.BEFORE_NOW.-1.-1.15&amp;application=12&amp;component=42&amp;serviceEndpoint=1176</t>
  </si>
  <si>
    <t>http://10.175.1.14:8090/controller/#/location=APP_SERVICE_ENDPOINT_DETAIL&amp;timeRange=last_15_minutes.BEFORE_NOW.-1.-1.15&amp;application=12&amp;component=42&amp;serviceEndpoint=200</t>
  </si>
  <si>
    <t>/api/mailaddr</t>
  </si>
  <si>
    <t>http://10.175.1.14:8090/controller/#/location=APP_SERVICE_ENDPOINT_DETAIL&amp;timeRange=last_15_minutes.BEFORE_NOW.-1.-1.15&amp;application=12&amp;component=42&amp;serviceEndpoint=679</t>
  </si>
  <si>
    <t>/api/mailmagazine</t>
  </si>
  <si>
    <t>http://10.175.1.14:8090/controller/#/location=APP_SERVICE_ENDPOINT_DETAIL&amp;timeRange=last_15_minutes.BEFORE_NOW.-1.-1.15&amp;application=12&amp;component=42&amp;serviceEndpoint=680</t>
  </si>
  <si>
    <t>/api/mbwtmethod</t>
  </si>
  <si>
    <t>http://10.175.1.14:8090/controller/#/location=APP_SERVICE_ENDPOINT_DETAIL&amp;timeRange=last_15_minutes.BEFORE_NOW.-1.-1.15&amp;application=12&amp;component=42&amp;serviceEndpoint=902</t>
  </si>
  <si>
    <t>/api/onetime_entry</t>
  </si>
  <si>
    <t>http://10.175.1.14:8090/controller/#/location=APP_SERVICE_ENDPOINT_DETAIL&amp;timeRange=last_15_minutes.BEFORE_NOW.-1.-1.15&amp;application=12&amp;component=42&amp;serviceEndpoint=670</t>
  </si>
  <si>
    <t>http://10.175.1.14:8090/controller/#/location=APP_SERVICE_ENDPOINT_DETAIL&amp;timeRange=last_15_minutes.BEFORE_NOW.-1.-1.15&amp;application=12&amp;component=42&amp;serviceEndpoint=287</t>
  </si>
  <si>
    <t>/console/login</t>
  </si>
  <si>
    <t>http://10.175.1.14:8090/controller/#/location=APP_SERVICE_ENDPOINT_DETAIL&amp;timeRange=last_15_minutes.BEFORE_NOW.-1.-1.15&amp;application=12&amp;component=42&amp;serviceEndpoint=222</t>
  </si>
  <si>
    <t>/CSCOnm/servlet</t>
  </si>
  <si>
    <t>http://10.175.1.14:8090/controller/#/location=APP_SERVICE_ENDPOINT_DETAIL&amp;timeRange=last_15_minutes.BEFORE_NOW.-1.-1.15&amp;application=12&amp;component=42&amp;serviceEndpoint=1192</t>
  </si>
  <si>
    <t>/cwhp/CSMSDesktop</t>
  </si>
  <si>
    <t>http://10.175.1.14:8090/controller/#/location=APP_SERVICE_ENDPOINT_DETAIL&amp;timeRange=last_15_minutes.BEFORE_NOW.-1.-1.15&amp;application=12&amp;component=42&amp;serviceEndpoint=1191</t>
  </si>
  <si>
    <t>http://10.175.1.14:8090/controller/#/location=APP_SERVICE_ENDPOINT_DETAIL&amp;timeRange=last_15_minutes.BEFORE_NOW.-1.-1.15&amp;application=12&amp;component=42&amp;serviceEndpoint=1175</t>
  </si>
  <si>
    <t>http://10.175.1.14:8090/controller/#/location=APP_SERVICE_ENDPOINT_DETAIL&amp;timeRange=last_15_minutes.BEFORE_NOW.-1.-1.15&amp;application=12&amp;component=42&amp;serviceEndpoint=173</t>
  </si>
  <si>
    <t>/if/CGI_get_af_sessionkey.php</t>
  </si>
  <si>
    <t>http://10.175.1.14:8090/controller/#/location=APP_SERVICE_ENDPOINT_DETAIL&amp;timeRange=last_15_minutes.BEFORE_NOW.-1.-1.15&amp;application=12&amp;component=42&amp;serviceEndpoint=334</t>
  </si>
  <si>
    <t>/index.jsp</t>
  </si>
  <si>
    <t>http://10.175.1.14:8090/controller/#/location=APP_SERVICE_ENDPOINT_DETAIL&amp;timeRange=last_15_minutes.BEFORE_NOW.-1.-1.15&amp;application=12&amp;component=42&amp;serviceEndpoint=1187</t>
  </si>
  <si>
    <t>http://10.175.1.14:8090/controller/#/location=APP_SERVICE_ENDPOINT_DETAIL&amp;timeRange=last_15_minutes.BEFORE_NOW.-1.-1.15&amp;application=12&amp;component=42&amp;serviceEndpoint=195</t>
  </si>
  <si>
    <t>http://10.175.1.14:8090/controller/#/location=APP_SERVICE_ENDPOINT_DETAIL&amp;timeRange=last_15_minutes.BEFORE_NOW.-1.-1.15&amp;application=12&amp;component=42&amp;serviceEndpoint=224</t>
  </si>
  <si>
    <t>http://10.175.1.14:8090/controller/#/location=APP_SERVICE_ENDPOINT_DETAIL&amp;timeRange=last_15_minutes.BEFORE_NOW.-1.-1.15&amp;application=12&amp;component=42&amp;serviceEndpoint=305</t>
  </si>
  <si>
    <t>http://10.175.1.14:8090/controller/#/location=APP_SERVICE_ENDPOINT_DETAIL&amp;timeRange=last_15_minutes.BEFORE_NOW.-1.-1.15&amp;application=12&amp;component=42&amp;serviceEndpoint=302</t>
  </si>
  <si>
    <t>http://10.175.1.14:8090/controller/#/location=APP_SERVICE_ENDPOINT_DETAIL&amp;timeRange=last_15_minutes.BEFORE_NOW.-1.-1.15&amp;application=12&amp;component=42&amp;serviceEndpoint=172</t>
  </si>
  <si>
    <t>http://10.175.1.14:8090/controller/#/location=APP_SERVICE_ENDPOINT_DETAIL&amp;timeRange=last_15_minutes.BEFORE_NOW.-1.-1.15&amp;application=12&amp;component=42&amp;serviceEndpoint=333</t>
  </si>
  <si>
    <t>http://10.175.1.14:8090/controller/#/location=APP_SERVICE_ENDPOINT_DETAIL&amp;timeRange=last_15_minutes.BEFORE_NOW.-1.-1.15&amp;application=12&amp;component=42&amp;serviceEndpoint=161</t>
  </si>
  <si>
    <t>/inet/ITYZKEC.jsp</t>
  </si>
  <si>
    <t>http://10.175.1.14:8090/controller/#/location=APP_SERVICE_ENDPOINT_DETAIL&amp;timeRange=last_15_minutes.BEFORE_NOW.-1.-1.15&amp;application=12&amp;component=42&amp;serviceEndpoint=478</t>
  </si>
  <si>
    <t>http://10.175.1.14:8090/controller/#/location=APP_SERVICE_ENDPOINT_DETAIL&amp;timeRange=last_15_minutes.BEFORE_NOW.-1.-1.15&amp;application=12&amp;component=42&amp;serviceEndpoint=101</t>
  </si>
  <si>
    <t>http://10.175.1.14:8090/controller/#/location=APP_SERVICE_ENDPOINT_DETAIL&amp;timeRange=last_15_minutes.BEFORE_NOW.-1.-1.15&amp;application=12&amp;component=42&amp;serviceEndpoint=178</t>
  </si>
  <si>
    <t>http://10.175.1.14:8090/controller/#/location=APP_SERVICE_ENDPOINT_DETAIL&amp;timeRange=last_15_minutes.BEFORE_NOW.-1.-1.15&amp;application=12&amp;component=42&amp;serviceEndpoint=177</t>
  </si>
  <si>
    <t>http://10.175.1.14:8090/controller/#/location=APP_SERVICE_ENDPOINT_DETAIL&amp;timeRange=last_15_minutes.BEFORE_NOW.-1.-1.15&amp;application=12&amp;component=42&amp;serviceEndpoint=192</t>
  </si>
  <si>
    <t>http://10.175.1.14:8090/controller/#/location=APP_SERVICE_ENDPOINT_DETAIL&amp;timeRange=last_15_minutes.BEFORE_NOW.-1.-1.15&amp;application=12&amp;component=42&amp;serviceEndpoint=306</t>
  </si>
  <si>
    <t>http://10.175.1.14:8090/controller/#/location=APP_SERVICE_ENDPOINT_DETAIL&amp;timeRange=last_15_minutes.BEFORE_NOW.-1.-1.15&amp;application=12&amp;component=42&amp;serviceEndpoint=317</t>
  </si>
  <si>
    <t>http://10.175.1.14:8090/controller/#/location=APP_SERVICE_ENDPOINT_DETAIL&amp;timeRange=last_15_minutes.BEFORE_NOW.-1.-1.15&amp;application=12&amp;component=42&amp;serviceEndpoint=194</t>
  </si>
  <si>
    <t>http://10.175.1.14:8090/controller/#/location=APP_SERVICE_ENDPOINT_DETAIL&amp;timeRange=last_15_minutes.BEFORE_NOW.-1.-1.15&amp;application=12&amp;component=42&amp;serviceEndpoint=191</t>
  </si>
  <si>
    <t>/inet/test.jsp</t>
  </si>
  <si>
    <t>http://10.175.1.14:8090/controller/#/location=APP_SERVICE_ENDPOINT_DETAIL&amp;timeRange=last_15_minutes.BEFORE_NOW.-1.-1.15&amp;application=12&amp;component=42&amp;serviceEndpoint=710</t>
  </si>
  <si>
    <t>http://10.175.1.14:8090/controller/#/location=APP_SERVICE_ENDPOINT_DETAIL&amp;timeRange=last_15_minutes.BEFORE_NOW.-1.-1.15&amp;application=12&amp;component=42&amp;serviceEndpoint=181</t>
  </si>
  <si>
    <t>http://10.175.1.14:8090/controller/#/location=APP_SERVICE_ENDPOINT_DETAIL&amp;timeRange=last_15_minutes.BEFORE_NOW.-1.-1.15&amp;application=12&amp;component=42&amp;serviceEndpoint=190</t>
  </si>
  <si>
    <t>http://10.175.1.14:8090/controller/#/location=APP_SERVICE_ENDPOINT_DETAIL&amp;timeRange=last_15_minutes.BEFORE_NOW.-1.-1.15&amp;application=12&amp;component=42&amp;serviceEndpoint=1177</t>
  </si>
  <si>
    <t>http://10.175.1.14:8090/controller/#/location=APP_SERVICE_ENDPOINT_DETAIL&amp;timeRange=last_15_minutes.BEFORE_NOW.-1.-1.15&amp;application=12&amp;component=42&amp;serviceEndpoint=202</t>
  </si>
  <si>
    <t>http://10.175.1.14:8090/controller/#/location=APP_SERVICE_ENDPOINT_DETAIL&amp;timeRange=last_15_minutes.BEFORE_NOW.-1.-1.15&amp;application=12&amp;component=42&amp;serviceEndpoint=216</t>
  </si>
  <si>
    <t>/k5ouo4k7.jsp</t>
  </si>
  <si>
    <t>http://10.175.1.14:8090/controller/#/location=APP_SERVICE_ENDPOINT_DETAIL&amp;timeRange=last_15_minutes.BEFORE_NOW.-1.-1.15&amp;application=12&amp;component=42&amp;serviceEndpoint=1186</t>
  </si>
  <si>
    <t>/login.jsp</t>
  </si>
  <si>
    <t>http://10.175.1.14:8090/controller/#/location=APP_SERVICE_ENDPOINT_DETAIL&amp;timeRange=last_15_minutes.BEFORE_NOW.-1.-1.15&amp;application=12&amp;component=42&amp;serviceEndpoint=1190</t>
  </si>
  <si>
    <t>/logon.jsp</t>
  </si>
  <si>
    <t>http://10.175.1.14:8090/controller/#/location=APP_SERVICE_ENDPOINT_DETAIL&amp;timeRange=last_15_minutes.BEFORE_NOW.-1.-1.15&amp;application=12&amp;component=42&amp;serviceEndpoint=1193</t>
  </si>
  <si>
    <t>http://10.175.1.14:8090/controller/#/location=APP_SERVICE_ENDPOINT_DETAIL&amp;timeRange=last_15_minutes.BEFORE_NOW.-1.-1.15&amp;application=12&amp;component=42&amp;serviceEndpoint=148</t>
  </si>
  <si>
    <t>/niet170746282.jsp</t>
  </si>
  <si>
    <t>http://10.175.1.14:8090/controller/#/location=APP_SERVICE_ENDPOINT_DETAIL&amp;timeRange=last_15_minutes.BEFORE_NOW.-1.-1.15&amp;application=12&amp;component=42&amp;serviceEndpoint=1198</t>
  </si>
  <si>
    <t>/OEM/CGI_ouser_entry.php3</t>
  </si>
  <si>
    <t>http://10.175.1.14:8090/controller/#/location=APP_SERVICE_ENDPOINT_DETAIL&amp;timeRange=last_15_minutes.BEFORE_NOW.-1.-1.15&amp;application=12&amp;component=42&amp;serviceEndpoint=332</t>
  </si>
  <si>
    <t>http://10.175.1.14:8090/controller/#/location=APP_SERVICE_ENDPOINT_DETAIL&amp;timeRange=last_15_minutes.BEFORE_NOW.-1.-1.15&amp;application=12&amp;component=42&amp;serviceEndpoint=168</t>
  </si>
  <si>
    <t>/reporter/client.jsp</t>
  </si>
  <si>
    <t>http://10.175.1.14:8090/controller/#/location=APP_SERVICE_ENDPOINT_DETAIL&amp;timeRange=last_15_minutes.BEFORE_NOW.-1.-1.15&amp;application=12&amp;component=42&amp;serviceEndpoint=1189</t>
  </si>
  <si>
    <t>/userportal/webpages</t>
  </si>
  <si>
    <t>http://10.175.1.14:8090/controller/#/location=APP_SERVICE_ENDPOINT_DETAIL&amp;timeRange=last_15_minutes.BEFORE_NOW.-1.-1.15&amp;application=12&amp;component=42&amp;serviceEndpoint=1185</t>
  </si>
  <si>
    <t>/webconsole/webpages</t>
  </si>
  <si>
    <t>http://10.175.1.14:8090/controller/#/location=APP_SERVICE_ENDPOINT_DETAIL&amp;timeRange=last_15_minutes.BEFORE_NOW.-1.-1.15&amp;application=12&amp;component=42&amp;serviceEndpoint=1188</t>
  </si>
  <si>
    <t>http://10.175.1.14:8090/controller/#/location=APP_SERVICE_ENDPOINT_DETAIL&amp;timeRange=last_15_minutes.BEFORE_NOW.-1.-1.15&amp;application=12&amp;component=42&amp;serviceEndpoint=162</t>
  </si>
  <si>
    <t>CommThread</t>
  </si>
  <si>
    <t>ASYNC</t>
  </si>
  <si>
    <t>http://10.175.1.14:8090/controller/#/location=APP_SERVICE_ENDPOINT_DETAIL&amp;timeRange=last_15_minutes.BEFORE_NOW.-1.-1.15&amp;application=12&amp;component=42&amp;serviceEndpoint=193</t>
  </si>
  <si>
    <t>ServiceProcess</t>
  </si>
  <si>
    <t>http://10.175.1.14:8090/controller/#/location=APP_SERVICE_ENDPOINT_DETAIL&amp;timeRange=last_15_minutes.BEFORE_NOW.-1.-1.15&amp;application=12&amp;component=42&amp;serviceEndpoint=223</t>
  </si>
  <si>
    <t>http://10.175.1.14:8090/controller/#/location=APP_SERVICE_ENDPOINT_DETAIL&amp;timeRange=last_15_minutes.BEFORE_NOW.-1.-1.15&amp;application=12&amp;component=39&amp;serviceEndpoint=103</t>
  </si>
  <si>
    <t>http://10.175.1.14:8090/controller/#/location=APP_SERVICE_ENDPOINT_DETAIL&amp;timeRange=last_15_minutes.BEFORE_NOW.-1.-1.15&amp;application=12&amp;component=39&amp;serviceEndpoint=1196</t>
  </si>
  <si>
    <t>http://10.175.1.14:8090/controller/#/location=APP_SERVICE_ENDPOINT_DETAIL&amp;timeRange=last_15_minutes.BEFORE_NOW.-1.-1.15&amp;application=12&amp;component=39&amp;serviceEndpoint=1207</t>
  </si>
  <si>
    <t>http://10.175.1.14:8090/controller/#/location=APP_SERVICE_ENDPOINT_DETAIL&amp;timeRange=last_15_minutes.BEFORE_NOW.-1.-1.15&amp;application=12&amp;component=39&amp;serviceEndpoint=1206</t>
  </si>
  <si>
    <t>http://10.175.1.14:8090/controller/#/location=APP_SERVICE_ENDPOINT_DETAIL&amp;timeRange=last_15_minutes.BEFORE_NOW.-1.-1.15&amp;application=12&amp;component=39&amp;serviceEndpoint=1195</t>
  </si>
  <si>
    <t>/f360/login.jsp</t>
  </si>
  <si>
    <t>http://10.175.1.14:8090/controller/#/location=APP_SERVICE_ENDPOINT_DETAIL&amp;timeRange=last_15_minutes.BEFORE_NOW.-1.-1.15&amp;application=12&amp;component=39&amp;serviceEndpoint=1211</t>
  </si>
  <si>
    <t>http://10.175.1.14:8090/controller/#/location=APP_SERVICE_ENDPOINT_DETAIL&amp;timeRange=last_15_minutes.BEFORE_NOW.-1.-1.15&amp;application=12&amp;component=39&amp;serviceEndpoint=106</t>
  </si>
  <si>
    <t>/IDMProv/jsps</t>
  </si>
  <si>
    <t>http://10.175.1.14:8090/controller/#/location=APP_SERVICE_ENDPOINT_DETAIL&amp;timeRange=last_15_minutes.BEFORE_NOW.-1.-1.15&amp;application=12&amp;component=39&amp;serviceEndpoint=1213</t>
  </si>
  <si>
    <t>http://10.175.1.14:8090/controller/#/location=APP_SERVICE_ENDPOINT_DETAIL&amp;timeRange=last_15_minutes.BEFORE_NOW.-1.-1.15&amp;application=12&amp;component=39&amp;serviceEndpoint=1201</t>
  </si>
  <si>
    <t>http://10.175.1.14:8090/controller/#/location=APP_SERVICE_ENDPOINT_DETAIL&amp;timeRange=last_15_minutes.BEFORE_NOW.-1.-1.15&amp;application=12&amp;component=39&amp;serviceEndpoint=299</t>
  </si>
  <si>
    <t>http://10.175.1.14:8090/controller/#/location=APP_SERVICE_ENDPOINT_DETAIL&amp;timeRange=last_15_minutes.BEFORE_NOW.-1.-1.15&amp;application=12&amp;component=39&amp;serviceEndpoint=1199</t>
  </si>
  <si>
    <t>http://10.175.1.14:8090/controller/#/location=APP_SERVICE_ENDPOINT_DETAIL&amp;timeRange=last_15_minutes.BEFORE_NOW.-1.-1.15&amp;application=12&amp;component=39&amp;serviceEndpoint=1205</t>
  </si>
  <si>
    <t>http://10.175.1.14:8090/controller/#/location=APP_SERVICE_ENDPOINT_DETAIL&amp;timeRange=last_15_minutes.BEFORE_NOW.-1.-1.15&amp;application=12&amp;component=39&amp;serviceEndpoint=1208</t>
  </si>
  <si>
    <t>http://10.175.1.14:8090/controller/#/location=APP_SERVICE_ENDPOINT_DETAIL&amp;timeRange=last_15_minutes.BEFORE_NOW.-1.-1.15&amp;application=12&amp;component=39&amp;serviceEndpoint=102</t>
  </si>
  <si>
    <t>/modules/inquiry</t>
  </si>
  <si>
    <t>http://10.175.1.14:8090/controller/#/location=APP_SERVICE_ENDPOINT_DETAIL&amp;timeRange=last_15_minutes.BEFORE_NOW.-1.-1.15&amp;application=12&amp;component=39&amp;serviceEndpoint=477</t>
  </si>
  <si>
    <t>http://10.175.1.14:8090/controller/#/location=APP_SERVICE_ENDPOINT_DETAIL&amp;timeRange=last_15_minutes.BEFORE_NOW.-1.-1.15&amp;application=12&amp;component=39&amp;serviceEndpoint=298</t>
  </si>
  <si>
    <t>/niet573848419.jsp</t>
  </si>
  <si>
    <t>http://10.175.1.14:8090/controller/#/location=APP_SERVICE_ENDPOINT_DETAIL&amp;timeRange=last_15_minutes.BEFORE_NOW.-1.-1.15&amp;application=12&amp;component=39&amp;serviceEndpoint=1210</t>
  </si>
  <si>
    <t>/niet936034963.jspx</t>
  </si>
  <si>
    <t>http://10.175.1.14:8090/controller/#/location=APP_SERVICE_ENDPOINT_DETAIL&amp;timeRange=last_15_minutes.BEFORE_NOW.-1.-1.15&amp;application=12&amp;component=39&amp;serviceEndpoint=1212</t>
  </si>
  <si>
    <t>http://10.175.1.14:8090/controller/#/location=APP_SERVICE_ENDPOINT_DETAIL&amp;timeRange=last_15_minutes.BEFORE_NOW.-1.-1.15&amp;application=12&amp;component=39&amp;serviceEndpoint=122</t>
  </si>
  <si>
    <t>http://10.175.1.14:8090/controller/#/location=APP_SERVICE_ENDPOINT_DETAIL&amp;timeRange=last_15_minutes.BEFORE_NOW.-1.-1.15&amp;application=12&amp;component=39&amp;serviceEndpoint=134</t>
  </si>
  <si>
    <t>http://10.175.1.14:8090/controller/#/location=APP_SERVICE_ENDPOINT_DETAIL&amp;timeRange=last_15_minutes.BEFORE_NOW.-1.-1.15&amp;application=12&amp;component=39&amp;serviceEndpoint=133</t>
  </si>
  <si>
    <t>http://10.175.1.14:8090/controller/#/location=APP_SERVICE_ENDPOINT_DETAIL&amp;timeRange=last_15_minutes.BEFORE_NOW.-1.-1.15&amp;application=12&amp;component=39&amp;serviceEndpoint=152</t>
  </si>
  <si>
    <t>http://10.175.1.14:8090/controller/#/location=APP_SERVICE_ENDPOINT_DETAIL&amp;timeRange=last_15_minutes.BEFORE_NOW.-1.-1.15&amp;application=12&amp;component=39&amp;serviceEndpoint=145</t>
  </si>
  <si>
    <t>/online/bank_smbc.jsp</t>
  </si>
  <si>
    <t>http://10.175.1.14:8090/controller/#/location=APP_SERVICE_ENDPOINT_DETAIL&amp;timeRange=last_15_minutes.BEFORE_NOW.-1.-1.15&amp;application=12&amp;component=39&amp;serviceEndpoint=144</t>
  </si>
  <si>
    <t>http://10.175.1.14:8090/controller/#/location=APP_SERVICE_ENDPOINT_DETAIL&amp;timeRange=last_15_minutes.BEFORE_NOW.-1.-1.15&amp;application=12&amp;component=39&amp;serviceEndpoint=130</t>
  </si>
  <si>
    <t>/online/contents</t>
  </si>
  <si>
    <t>http://10.175.1.14:8090/controller/#/location=APP_SERVICE_ENDPOINT_DETAIL&amp;timeRange=last_15_minutes.BEFORE_NOW.-1.-1.15&amp;application=12&amp;component=39&amp;serviceEndpoint=1947</t>
  </si>
  <si>
    <t>http://10.175.1.14:8090/controller/#/location=APP_SERVICE_ENDPOINT_DETAIL&amp;timeRange=last_15_minutes.BEFORE_NOW.-1.-1.15&amp;application=12&amp;component=39&amp;serviceEndpoint=111</t>
  </si>
  <si>
    <t>http://10.175.1.14:8090/controller/#/location=APP_SERVICE_ENDPOINT_DETAIL&amp;timeRange=last_15_minutes.BEFORE_NOW.-1.-1.15&amp;application=12&amp;component=39&amp;serviceEndpoint=121</t>
  </si>
  <si>
    <t>http://10.175.1.14:8090/controller/#/location=APP_SERVICE_ENDPOINT_DETAIL&amp;timeRange=last_15_minutes.BEFORE_NOW.-1.-1.15&amp;application=12&amp;component=39&amp;serviceEndpoint=92</t>
  </si>
  <si>
    <t>/online/seamless_redirect.jsp</t>
  </si>
  <si>
    <t>http://10.175.1.14:8090/controller/#/location=APP_SERVICE_ENDPOINT_DETAIL&amp;timeRange=last_15_minutes.BEFORE_NOW.-1.-1.15&amp;application=12&amp;component=39&amp;serviceEndpoint=1948</t>
  </si>
  <si>
    <t>http://10.175.1.14:8090/controller/#/location=APP_SERVICE_ENDPOINT_DETAIL&amp;timeRange=last_15_minutes.BEFORE_NOW.-1.-1.15&amp;application=12&amp;component=39&amp;serviceEndpoint=221</t>
  </si>
  <si>
    <t>/online/WEB-INF</t>
  </si>
  <si>
    <t>http://10.175.1.14:8090/controller/#/location=APP_SERVICE_ENDPOINT_DETAIL&amp;timeRange=last_15_minutes.BEFORE_NOW.-1.-1.15&amp;application=12&amp;component=39&amp;serviceEndpoint=93</t>
  </si>
  <si>
    <t>http://10.175.1.14:8090/controller/#/location=APP_SERVICE_ENDPOINT_DETAIL&amp;timeRange=last_15_minutes.BEFORE_NOW.-1.-1.15&amp;application=12&amp;component=39&amp;serviceEndpoint=1204</t>
  </si>
  <si>
    <t>/sgdadmin/faces</t>
  </si>
  <si>
    <t>http://10.175.1.14:8090/controller/#/location=APP_SERVICE_ENDPOINT_DETAIL&amp;timeRange=last_15_minutes.BEFORE_NOW.-1.-1.15&amp;application=12&amp;component=39&amp;serviceEndpoint=1215</t>
  </si>
  <si>
    <t>/spotfire/about.jsp</t>
  </si>
  <si>
    <t>http://10.175.1.14:8090/controller/#/location=APP_SERVICE_ENDPOINT_DETAIL&amp;timeRange=last_15_minutes.BEFORE_NOW.-1.-1.15&amp;application=12&amp;component=39&amp;serviceEndpoint=1214</t>
  </si>
  <si>
    <t>http://10.175.1.14:8090/controller/#/location=APP_SERVICE_ENDPOINT_DETAIL&amp;timeRange=last_15_minutes.BEFORE_NOW.-1.-1.15&amp;application=12&amp;component=39&amp;serviceEndpoint=1200</t>
  </si>
  <si>
    <t>/vr4l7s8f.jsp</t>
  </si>
  <si>
    <t>http://10.175.1.14:8090/controller/#/location=APP_SERVICE_ENDPOINT_DETAIL&amp;timeRange=last_15_minutes.BEFORE_NOW.-1.-1.15&amp;application=12&amp;component=39&amp;serviceEndpoint=1203</t>
  </si>
  <si>
    <t>http://10.175.1.14:8090/controller/#/location=APP_SERVICE_ENDPOINT_DETAIL&amp;timeRange=last_15_minutes.BEFORE_NOW.-1.-1.15&amp;application=12&amp;component=39&amp;serviceEndpoint=1202</t>
  </si>
  <si>
    <t>http://10.175.1.14:8090/controller/#/location=APP_SERVICE_ENDPOINT_DETAIL&amp;timeRange=last_15_minutes.BEFORE_NOW.-1.-1.15&amp;application=12&amp;component=39&amp;serviceEndpoint=355</t>
  </si>
  <si>
    <t>http://10.175.1.14:8090/controller/#/location=APP_SERVICE_ENDPOINT_DETAIL&amp;timeRange=last_15_minutes.BEFORE_NOW.-1.-1.15&amp;application=12&amp;component=39&amp;serviceEndpoint=208</t>
  </si>
  <si>
    <t>http://10.175.1.14:8090/controller/#/location=APP_SERVICE_ENDPOINT_DETAIL&amp;timeRange=last_15_minutes.BEFORE_NOW.-1.-1.15&amp;application=12&amp;component=39&amp;serviceEndpoint=129</t>
  </si>
  <si>
    <t>http://10.175.1.14:8090/controller/#/location=APP_SERVICE_ENDPOINT_DETAIL&amp;timeRange=last_15_minutes.BEFORE_NOW.-1.-1.15&amp;application=12&amp;component=39&amp;serviceEndpoint=126</t>
  </si>
  <si>
    <t>http://10.175.1.14:8090/controller/#/location=APP_SERVICE_ENDPOINT_DETAIL&amp;timeRange=last_15_minutes.BEFORE_NOW.-1.-1.15&amp;application=12&amp;component=39&amp;serviceEndpoint=128</t>
  </si>
  <si>
    <t>http://10.175.1.14:8090/controller/#/location=APP_SERVICE_ENDPOINT_DETAIL&amp;timeRange=last_15_minutes.BEFORE_NOW.-1.-1.15&amp;application=12&amp;component=39&amp;serviceEndpoint=142</t>
  </si>
  <si>
    <t>http://10.175.1.14:8090/controller/#/location=APP_SERVICE_ENDPOINT_DETAIL&amp;timeRange=last_15_minutes.BEFORE_NOW.-1.-1.15&amp;application=12&amp;component=39&amp;serviceEndpoint=135</t>
  </si>
  <si>
    <t>http://10.175.1.14:8090/controller/#/location=APP_SERVICE_ENDPOINT_DETAIL&amp;timeRange=last_15_minutes.BEFORE_NOW.-1.-1.15&amp;application=12&amp;component=39&amp;serviceEndpoint=127</t>
  </si>
  <si>
    <t>/wins/SystemDate.jsp</t>
  </si>
  <si>
    <t>http://10.175.1.14:8090/controller/#/location=APP_SERVICE_ENDPOINT_DETAIL&amp;timeRange=last_15_minutes.BEFORE_NOW.-1.-1.15&amp;application=12&amp;component=39&amp;serviceEndpoint=141</t>
  </si>
  <si>
    <t>http://10.175.1.14:8090/controller/#/location=APP_SERVICE_ENDPOINT_DETAIL&amp;timeRange=last_15_minutes.BEFORE_NOW.-1.-1.15&amp;application=12&amp;component=39&amp;serviceEndpoint=156</t>
  </si>
  <si>
    <t>http://10.175.1.14:8090/controller/#/location=APP_SERVICE_ENDPOINT_DETAIL&amp;timeRange=last_15_minutes.BEFORE_NOW.-1.-1.15&amp;application=12&amp;component=39&amp;serviceEndpoint=158</t>
  </si>
  <si>
    <t>http://10.175.1.14:8090/controller/#/location=APP_SERVICE_ENDPOINT_DETAIL&amp;timeRange=last_15_minutes.BEFORE_NOW.-1.-1.15&amp;application=12&amp;component=39&amp;serviceEndpoint=157</t>
  </si>
  <si>
    <t>http://10.175.1.14:8090/controller/#/location=APP_SERVICE_ENDPOINT_DETAIL&amp;timeRange=last_15_minutes.BEFORE_NOW.-1.-1.15&amp;application=12&amp;component=39&amp;serviceEndpoint=125</t>
  </si>
  <si>
    <t>http://10.175.1.14:8090/controller/#/location=APP_SERVICE_ENDPOINT_DETAIL&amp;timeRange=last_15_minutes.BEFORE_NOW.-1.-1.15&amp;application=12&amp;component=41&amp;serviceEndpoint=352</t>
  </si>
  <si>
    <t>http://10.175.1.14:8090/controller/#/location=APP_SERVICE_ENDPOINT_DETAIL&amp;timeRange=last_15_minutes.BEFORE_NOW.-1.-1.15&amp;application=12&amp;component=41&amp;serviceEndpoint=702</t>
  </si>
  <si>
    <t>http://10.175.1.14:8090/controller/#/location=APP_SERVICE_ENDPOINT_DETAIL&amp;timeRange=last_15_minutes.BEFORE_NOW.-1.-1.15&amp;application=12&amp;component=41&amp;serviceEndpoint=445</t>
  </si>
  <si>
    <t>http://10.175.1.14:8090/controller/#/location=APP_SERVICE_ENDPOINT_DETAIL&amp;timeRange=last_15_minutes.BEFORE_NOW.-1.-1.15&amp;application=12&amp;component=41&amp;serviceEndpoint=351</t>
  </si>
  <si>
    <t>http://10.175.1.14:8090/controller/#/location=APP_SERVICE_ENDPOINT_DETAIL&amp;timeRange=last_15_minutes.BEFORE_NOW.-1.-1.15&amp;application=12&amp;component=40&amp;serviceEndpoint=357</t>
  </si>
  <si>
    <t>http://10.175.1.14:8090/controller/#/location=APP_SERVICE_ENDPOINT_DETAIL&amp;timeRange=last_15_minutes.BEFORE_NOW.-1.-1.15&amp;application=12&amp;component=40&amp;serviceEndpoint=359</t>
  </si>
  <si>
    <t>http://10.175.1.14:8090/controller/#/location=APP_SERVICE_ENDPOINT_DETAIL&amp;timeRange=last_15_minutes.BEFORE_NOW.-1.-1.15&amp;application=12&amp;component=40&amp;serviceEndpoint=1567</t>
  </si>
  <si>
    <t>/inet/ufjc</t>
  </si>
  <si>
    <t>http://10.175.1.14:8090/controller/#/location=APP_SERVICE_ENDPOINT_DETAIL&amp;timeRange=last_15_minutes.BEFORE_NOW.-1.-1.15&amp;application=12&amp;component=40&amp;serviceEndpoint=433</t>
  </si>
  <si>
    <t>http://10.175.1.14:8090/controller/#/location=APP_SERVICE_ENDPOINT_DETAIL&amp;timeRange=last_15_minutes.BEFORE_NOW.-1.-1.15&amp;application=12&amp;component=40&amp;serviceEndpoint=356</t>
  </si>
  <si>
    <t>http://10.175.1.14:8090/controller/#/location=APP_SERVICE_ENDPOINT_DETAIL&amp;timeRange=last_15_minutes.BEFORE_NOW.-1.-1.15&amp;application=12&amp;component=40&amp;serviceEndpoint=849</t>
  </si>
  <si>
    <t>http://10.175.1.14:8090/controller/#/location=APP_SERVICE_ENDPOINT_DETAIL&amp;timeRange=last_15_minutes.BEFORE_NOW.-1.-1.15&amp;application=12&amp;component=40&amp;serviceEndpoint=874</t>
  </si>
  <si>
    <t>http://10.175.1.14:8090/controller/#/location=APP_SERVICE_ENDPOINT_DETAIL&amp;timeRange=last_15_minutes.BEFORE_NOW.-1.-1.15&amp;application=12&amp;component=36&amp;serviceEndpoint=154</t>
  </si>
  <si>
    <t>/1mnvanfx.jsp</t>
  </si>
  <si>
    <t>http://10.175.1.14:8090/controller/#/location=APP_SERVICE_ENDPOINT_DETAIL&amp;timeRange=last_15_minutes.BEFORE_NOW.-1.-1.15&amp;application=12&amp;component=36&amp;serviceEndpoint=1245</t>
  </si>
  <si>
    <t>http://10.175.1.14:8090/controller/#/location=APP_SERVICE_ENDPOINT_DETAIL&amp;timeRange=last_15_minutes.BEFORE_NOW.-1.-1.15&amp;application=12&amp;component=36&amp;serviceEndpoint=1223</t>
  </si>
  <si>
    <t>/axis2/axis2-web</t>
  </si>
  <si>
    <t>http://10.175.1.14:8090/controller/#/location=APP_SERVICE_ENDPOINT_DETAIL&amp;timeRange=last_15_minutes.BEFORE_NOW.-1.-1.15&amp;application=12&amp;component=36&amp;serviceEndpoint=1247</t>
  </si>
  <si>
    <t>/cgi-bin/1mnvanfx.jsp</t>
  </si>
  <si>
    <t>http://10.175.1.14:8090/controller/#/location=APP_SERVICE_ENDPOINT_DETAIL&amp;timeRange=last_15_minutes.BEFORE_NOW.-1.-1.15&amp;application=12&amp;component=36&amp;serviceEndpoint=1241</t>
  </si>
  <si>
    <t>/cgi-bin/zenworks</t>
  </si>
  <si>
    <t>http://10.175.1.14:8090/controller/#/location=APP_SERVICE_ENDPOINT_DETAIL&amp;timeRange=last_15_minutes.BEFORE_NOW.-1.-1.15&amp;application=12&amp;component=36&amp;serviceEndpoint=1235</t>
  </si>
  <si>
    <t>/clearspace/admin</t>
  </si>
  <si>
    <t>http://10.175.1.14:8090/controller/#/location=APP_SERVICE_ENDPOINT_DETAIL&amp;timeRange=last_15_minutes.BEFORE_NOW.-1.-1.15&amp;application=12&amp;component=36&amp;serviceEndpoint=1240</t>
  </si>
  <si>
    <t>http://10.175.1.14:8090/controller/#/location=APP_SERVICE_ENDPOINT_DETAIL&amp;timeRange=last_15_minutes.BEFORE_NOW.-1.-1.15&amp;application=12&amp;component=36&amp;serviceEndpoint=196</t>
  </si>
  <si>
    <t>http://10.175.1.14:8090/controller/#/location=APP_SERVICE_ENDPOINT_DETAIL&amp;timeRange=last_15_minutes.BEFORE_NOW.-1.-1.15&amp;application=12&amp;component=36&amp;serviceEndpoint=437</t>
  </si>
  <si>
    <t>http://10.175.1.14:8090/controller/#/location=APP_SERVICE_ENDPOINT_DETAIL&amp;timeRange=last_15_minutes.BEFORE_NOW.-1.-1.15&amp;application=12&amp;component=36&amp;serviceEndpoint=339</t>
  </si>
  <si>
    <t>http://10.175.1.14:8090/controller/#/location=APP_SERVICE_ENDPOINT_DETAIL&amp;timeRange=last_15_minutes.BEFORE_NOW.-1.-1.15&amp;application=12&amp;component=36&amp;serviceEndpoint=199</t>
  </si>
  <si>
    <t>http://10.175.1.14:8090/controller/#/location=APP_SERVICE_ENDPOINT_DETAIL&amp;timeRange=last_15_minutes.BEFORE_NOW.-1.-1.15&amp;application=12&amp;component=36&amp;serviceEndpoint=1242</t>
  </si>
  <si>
    <t>http://10.175.1.14:8090/controller/#/location=APP_SERVICE_ENDPOINT_DETAIL&amp;timeRange=last_15_minutes.BEFORE_NOW.-1.-1.15&amp;application=12&amp;component=36&amp;serviceEndpoint=1222</t>
  </si>
  <si>
    <t>/dswsbobje/axis2-web</t>
  </si>
  <si>
    <t>http://10.175.1.14:8090/controller/#/location=APP_SERVICE_ENDPOINT_DETAIL&amp;timeRange=last_15_minutes.BEFORE_NOW.-1.-1.15&amp;application=12&amp;component=36&amp;serviceEndpoint=1250</t>
  </si>
  <si>
    <t>http://10.175.1.14:8090/controller/#/location=APP_SERVICE_ENDPOINT_DETAIL&amp;timeRange=last_15_minutes.BEFORE_NOW.-1.-1.15&amp;application=12&amp;component=36&amp;serviceEndpoint=174</t>
  </si>
  <si>
    <t>http://10.175.1.14:8090/controller/#/location=APP_SERVICE_ENDPOINT_DETAIL&amp;timeRange=last_15_minutes.BEFORE_NOW.-1.-1.15&amp;application=12&amp;component=36&amp;serviceEndpoint=421</t>
  </si>
  <si>
    <t>/imcws/axis2-web</t>
  </si>
  <si>
    <t>http://10.175.1.14:8090/controller/#/location=APP_SERVICE_ENDPOINT_DETAIL&amp;timeRange=last_15_minutes.BEFORE_NOW.-1.-1.15&amp;application=12&amp;component=36&amp;serviceEndpoint=1248</t>
  </si>
  <si>
    <t>http://10.175.1.14:8090/controller/#/location=APP_SERVICE_ENDPOINT_DETAIL&amp;timeRange=last_15_minutes.BEFORE_NOW.-1.-1.15&amp;application=12&amp;component=36&amp;serviceEndpoint=1229</t>
  </si>
  <si>
    <t>http://10.175.1.14:8090/controller/#/location=APP_SERVICE_ENDPOINT_DETAIL&amp;timeRange=last_15_minutes.BEFORE_NOW.-1.-1.15&amp;application=12&amp;component=36&amp;serviceEndpoint=1224</t>
  </si>
  <si>
    <t>http://10.175.1.14:8090/controller/#/location=APP_SERVICE_ENDPOINT_DETAIL&amp;timeRange=last_15_minutes.BEFORE_NOW.-1.-1.15&amp;application=12&amp;component=36&amp;serviceEndpoint=401</t>
  </si>
  <si>
    <t>http://10.175.1.14:8090/controller/#/location=APP_SERVICE_ENDPOINT_DETAIL&amp;timeRange=last_15_minutes.BEFORE_NOW.-1.-1.15&amp;application=12&amp;component=36&amp;serviceEndpoint=397</t>
  </si>
  <si>
    <t>http://10.175.1.14:8090/controller/#/location=APP_SERVICE_ENDPOINT_DETAIL&amp;timeRange=last_15_minutes.BEFORE_NOW.-1.-1.15&amp;application=12&amp;component=36&amp;serviceEndpoint=1239</t>
  </si>
  <si>
    <t>http://10.175.1.14:8090/controller/#/location=APP_SERVICE_ENDPOINT_DETAIL&amp;timeRange=last_15_minutes.BEFORE_NOW.-1.-1.15&amp;application=12&amp;component=36&amp;serviceEndpoint=1243</t>
  </si>
  <si>
    <t>http://10.175.1.14:8090/controller/#/location=APP_SERVICE_ENDPOINT_DETAIL&amp;timeRange=last_15_minutes.BEFORE_NOW.-1.-1.15&amp;application=12&amp;component=36&amp;serviceEndpoint=153</t>
  </si>
  <si>
    <t>http://10.175.1.14:8090/controller/#/location=APP_SERVICE_ENDPOINT_DETAIL&amp;timeRange=last_15_minutes.BEFORE_NOW.-1.-1.15&amp;application=12&amp;component=36&amp;serviceEndpoint=206</t>
  </si>
  <si>
    <t>/master/WEB-INF</t>
  </si>
  <si>
    <t>http://10.175.1.14:8090/controller/#/location=APP_SERVICE_ENDPOINT_DETAIL&amp;timeRange=last_15_minutes.BEFORE_NOW.-1.-1.15&amp;application=12&amp;component=36&amp;serviceEndpoint=205</t>
  </si>
  <si>
    <t>http://10.175.1.14:8090/controller/#/location=APP_SERVICE_ENDPOINT_DETAIL&amp;timeRange=last_15_minutes.BEFORE_NOW.-1.-1.15&amp;application=12&amp;component=36&amp;serviceEndpoint=455</t>
  </si>
  <si>
    <t>http://10.175.1.14:8090/controller/#/location=APP_SERVICE_ENDPOINT_DETAIL&amp;timeRange=last_15_minutes.BEFORE_NOW.-1.-1.15&amp;application=12&amp;component=36&amp;serviceEndpoint=159</t>
  </si>
  <si>
    <t>http://10.175.1.14:8090/controller/#/location=APP_SERVICE_ENDPOINT_DETAIL&amp;timeRange=last_15_minutes.BEFORE_NOW.-1.-1.15&amp;application=12&amp;component=36&amp;serviceEndpoint=659</t>
  </si>
  <si>
    <t>http://10.175.1.14:8090/controller/#/location=APP_SERVICE_ENDPOINT_DETAIL&amp;timeRange=last_15_minutes.BEFORE_NOW.-1.-1.15&amp;application=12&amp;component=36&amp;serviceEndpoint=669</t>
  </si>
  <si>
    <t>http://10.175.1.14:8090/controller/#/location=APP_SERVICE_ENDPOINT_DETAIL&amp;timeRange=last_15_minutes.BEFORE_NOW.-1.-1.15&amp;application=12&amp;component=36&amp;serviceEndpoint=668</t>
  </si>
  <si>
    <t>http://10.175.1.14:8090/controller/#/location=APP_SERVICE_ENDPOINT_DETAIL&amp;timeRange=last_15_minutes.BEFORE_NOW.-1.-1.15&amp;application=12&amp;component=36&amp;serviceEndpoint=671</t>
  </si>
  <si>
    <t>http://10.175.1.14:8090/controller/#/location=APP_SERVICE_ENDPOINT_DETAIL&amp;timeRange=last_15_minutes.BEFORE_NOW.-1.-1.15&amp;application=12&amp;component=36&amp;serviceEndpoint=678</t>
  </si>
  <si>
    <t>http://10.175.1.14:8090/controller/#/location=APP_SERVICE_ENDPOINT_DETAIL&amp;timeRange=last_15_minutes.BEFORE_NOW.-1.-1.15&amp;application=12&amp;component=36&amp;serviceEndpoint=676</t>
  </si>
  <si>
    <t>http://10.175.1.14:8090/controller/#/location=APP_SERVICE_ENDPOINT_DETAIL&amp;timeRange=last_15_minutes.BEFORE_NOW.-1.-1.15&amp;application=12&amp;component=36&amp;serviceEndpoint=677</t>
  </si>
  <si>
    <t>http://10.175.1.14:8090/controller/#/location=APP_SERVICE_ENDPOINT_DETAIL&amp;timeRange=last_15_minutes.BEFORE_NOW.-1.-1.15&amp;application=12&amp;component=36&amp;serviceEndpoint=479</t>
  </si>
  <si>
    <t>http://10.175.1.14:8090/controller/#/location=APP_SERVICE_ENDPOINT_DETAIL&amp;timeRange=last_15_minutes.BEFORE_NOW.-1.-1.15&amp;application=12&amp;component=36&amp;serviceEndpoint=672</t>
  </si>
  <si>
    <t>http://10.175.1.14:8090/controller/#/location=APP_SERVICE_ENDPOINT_DETAIL&amp;timeRange=last_15_minutes.BEFORE_NOW.-1.-1.15&amp;application=12&amp;component=36&amp;serviceEndpoint=1237</t>
  </si>
  <si>
    <t>/scripts/1mnvanfx.jsp</t>
  </si>
  <si>
    <t>http://10.175.1.14:8090/controller/#/location=APP_SERVICE_ENDPOINT_DETAIL&amp;timeRange=last_15_minutes.BEFORE_NOW.-1.-1.15&amp;application=12&amp;component=36&amp;serviceEndpoint=1246</t>
  </si>
  <si>
    <t>/scripts/zenworks</t>
  </si>
  <si>
    <t>http://10.175.1.14:8090/controller/#/location=APP_SERVICE_ENDPOINT_DETAIL&amp;timeRange=last_15_minutes.BEFORE_NOW.-1.-1.15&amp;application=12&amp;component=36&amp;serviceEndpoint=1238</t>
  </si>
  <si>
    <t>http://10.175.1.14:8090/controller/#/location=APP_SERVICE_ENDPOINT_DETAIL&amp;timeRange=last_15_minutes.BEFORE_NOW.-1.-1.15&amp;application=12&amp;component=36&amp;serviceEndpoint=1234</t>
  </si>
  <si>
    <t>http://10.175.1.14:8090/controller/#/location=APP_SERVICE_ENDPOINT_DETAIL&amp;timeRange=last_15_minutes.BEFORE_NOW.-1.-1.15&amp;application=12&amp;component=36&amp;serviceEndpoint=1236</t>
  </si>
  <si>
    <t>/weblogic/index.jsp</t>
  </si>
  <si>
    <t>http://10.175.1.14:8090/controller/#/location=APP_SERVICE_ENDPOINT_DETAIL&amp;timeRange=last_15_minutes.BEFORE_NOW.-1.-1.15&amp;application=12&amp;component=36&amp;serviceEndpoint=1230</t>
  </si>
  <si>
    <t>/WebServiceImpl/axis2-web</t>
  </si>
  <si>
    <t>http://10.175.1.14:8090/controller/#/location=APP_SERVICE_ENDPOINT_DETAIL&amp;timeRange=last_15_minutes.BEFORE_NOW.-1.-1.15&amp;application=12&amp;component=36&amp;serviceEndpoint=1249</t>
  </si>
  <si>
    <t>/zenworks/jsp</t>
  </si>
  <si>
    <t>http://10.175.1.14:8090/controller/#/location=APP_SERVICE_ENDPOINT_DETAIL&amp;timeRange=last_15_minutes.BEFORE_NOW.-1.-1.15&amp;application=12&amp;component=36&amp;serviceEndpoint=1244</t>
  </si>
  <si>
    <t>http://10.175.1.14:8090/controller/#/location=APP_SERVICE_ENDPOINT_DETAIL&amp;timeRange=last_15_minutes.BEFORE_NOW.-1.-1.15&amp;application=12&amp;component=37&amp;serviceEndpoint=276</t>
  </si>
  <si>
    <t>http://10.175.1.14:8090/controller/#/location=APP_SERVICE_ENDPOINT_DETAIL&amp;timeRange=last_15_minutes.BEFORE_NOW.-1.-1.15&amp;application=12&amp;component=37&amp;serviceEndpoint=282</t>
  </si>
  <si>
    <t>http://10.175.1.14:8090/controller/#/location=APP_SERVICE_ENDPOINT_DETAIL&amp;timeRange=last_15_minutes.BEFORE_NOW.-1.-1.15&amp;application=12&amp;component=37&amp;serviceEndpoint=281</t>
  </si>
  <si>
    <t>http://10.175.1.14:8090/controller/#/location=APP_SERVICE_ENDPOINT_DETAIL&amp;timeRange=last_15_minutes.BEFORE_NOW.-1.-1.15&amp;application=12&amp;component=37&amp;serviceEndpoint=295</t>
  </si>
  <si>
    <t>http://10.175.1.14:8090/controller/#/location=APP_SERVICE_ENDPOINT_DETAIL&amp;timeRange=last_15_minutes.BEFORE_NOW.-1.-1.15&amp;application=12&amp;component=37&amp;serviceEndpoint=275</t>
  </si>
  <si>
    <t>http://10.175.1.14:8090/controller/#/location=APP_SERVICE_ENDPOINT_DETAIL&amp;timeRange=last_15_minutes.BEFORE_NOW.-1.-1.15&amp;application=12&amp;component=37&amp;serviceEndpoint=1232</t>
  </si>
  <si>
    <t>http://10.175.1.14:8090/controller/#/location=APP_SERVICE_ENDPOINT_DETAIL&amp;timeRange=last_15_minutes.BEFORE_NOW.-1.-1.15&amp;application=12&amp;component=38&amp;serviceEndpoint=278</t>
  </si>
  <si>
    <t>http://10.175.1.14:8090/controller/#/location=APP_SERVICE_ENDPOINT_DETAIL&amp;timeRange=last_15_minutes.BEFORE_NOW.-1.-1.15&amp;application=12&amp;component=38&amp;serviceEndpoint=284</t>
  </si>
  <si>
    <t>http://10.175.1.14:8090/controller/#/location=APP_SERVICE_ENDPOINT_DETAIL&amp;timeRange=last_15_minutes.BEFORE_NOW.-1.-1.15&amp;application=12&amp;component=38&amp;serviceEndpoint=283</t>
  </si>
  <si>
    <t>http://10.175.1.14:8090/controller/#/location=APP_SERVICE_ENDPOINT_DETAIL&amp;timeRange=last_15_minutes.BEFORE_NOW.-1.-1.15&amp;application=12&amp;component=38&amp;serviceEndpoint=297</t>
  </si>
  <si>
    <t>http://10.175.1.14:8090/controller/#/location=APP_SERVICE_ENDPOINT_DETAIL&amp;timeRange=last_15_minutes.BEFORE_NOW.-1.-1.15&amp;application=12&amp;component=38&amp;serviceEndpoint=277</t>
  </si>
  <si>
    <t>http://10.175.1.14:8090/controller/#/location=APP_SERVICE_ENDPOINT_DETAIL&amp;timeRange=last_15_minutes.BEFORE_NOW.-1.-1.15&amp;application=12&amp;component=38&amp;serviceEndpoint=293</t>
  </si>
  <si>
    <t>http://10.175.1.14:8090/controller/#/location=APP_SERVICE_ENDPOINT_DETAIL&amp;timeRange=last_15_minutes.BEFORE_NOW.-1.-1.15&amp;application=12&amp;component=38&amp;serviceEndpoint=1233</t>
  </si>
  <si>
    <t>http://10.175.1.14:8090/controller/#/location=APP_SERVICE_ENDPOINT_DETAIL&amp;timeRange=last_15_minutes.BEFORE_NOW.-1.-1.15&amp;application=12&amp;component=43&amp;serviceEndpoint=1885</t>
  </si>
  <si>
    <t>http://10.175.1.14:8090/controller/#/location=APP_SERVICE_ENDPOINT_DETAIL&amp;timeRange=last_15_minutes.BEFORE_NOW.-1.-1.15&amp;application=12&amp;component=43&amp;serviceEndpoint=903</t>
  </si>
  <si>
    <t>http://10.175.1.14:8090/controller/#/location=APP_SERVICE_ENDPOINT_DETAIL&amp;timeRange=last_15_minutes.BEFORE_NOW.-1.-1.15&amp;application=12&amp;component=43&amp;serviceEndpoint=95</t>
  </si>
  <si>
    <t>http://10.175.1.14:8090/controller/#/location=APP_SERVICE_ENDPOINT_DETAIL&amp;timeRange=last_15_minutes.BEFORE_NOW.-1.-1.15&amp;application=12&amp;component=43&amp;serviceEndpoint=1884</t>
  </si>
  <si>
    <t>http://10.175.1.14:8090/controller/#/location=APP_SERVICE_ENDPOINT_DETAIL&amp;timeRange=last_15_minutes.BEFORE_NOW.-1.-1.15&amp;application=12&amp;component=43&amp;serviceEndpoint=1218</t>
  </si>
  <si>
    <t>WlcFgw7RecoveryExecuter:WlcFgwJmsMessageRecoveryQueue</t>
  </si>
  <si>
    <t>http://10.175.1.14:8090/controller/#/location=APP_SERVICE_ENDPOINT_DETAIL&amp;timeRange=last_15_minutes.BEFORE_NOW.-1.-1.15&amp;application=12&amp;component=43&amp;serviceEndpoint=436</t>
  </si>
  <si>
    <t>http://10.175.1.14:8090/controller/#/location=APP_SERVICE_ENDPOINT_DETAIL&amp;timeRange=last_15_minutes.BEFORE_NOW.-1.-1.15&amp;application=12&amp;component=34&amp;serviceEndpoint=349</t>
  </si>
  <si>
    <t>http://10.175.1.14:8090/controller/#/location=APP_SERVICE_ENDPOINT_DETAIL&amp;timeRange=last_15_minutes.BEFORE_NOW.-1.-1.15&amp;application=12&amp;component=34&amp;serviceEndpoint=230</t>
  </si>
  <si>
    <t>http://10.175.1.14:8090/controller/#/location=APP_SERVICE_ENDPOINT_DETAIL&amp;timeRange=last_15_minutes.BEFORE_NOW.-1.-1.15&amp;application=12&amp;component=49&amp;serviceEndpoint=2058</t>
  </si>
  <si>
    <t>http://10.175.1.14:8090/controller/#/location=APP_SERVICE_ENDPOINT_DETAIL&amp;timeRange=last_15_minutes.BEFORE_NOW.-1.-1.15&amp;application=12&amp;component=49&amp;serviceEndpoint=1956</t>
  </si>
  <si>
    <t>/include/inet</t>
  </si>
  <si>
    <t>http://10.175.1.14:8090/controller/#/location=APP_SERVICE_ENDPOINT_DETAIL&amp;timeRange=last_15_minutes.BEFORE_NOW.-1.-1.15&amp;application=12&amp;component=49&amp;serviceEndpoint=2411</t>
  </si>
  <si>
    <t>http://10.175.1.14:8090/controller/#/location=APP_SERVICE_ENDPOINT_DETAIL&amp;timeRange=last_15_minutes.BEFORE_NOW.-1.-1.15&amp;application=12&amp;component=49&amp;serviceEndpoint=2536</t>
  </si>
  <si>
    <t>/inet/mufg</t>
  </si>
  <si>
    <t>http://10.175.1.14:8090/controller/#/location=APP_SERVICE_ENDPOINT_DETAIL&amp;timeRange=last_15_minutes.BEFORE_NOW.-1.-1.15&amp;application=12&amp;component=49&amp;serviceEndpoint=2533</t>
  </si>
  <si>
    <t>http://10.175.1.14:8090/controller/#/location=APP_SERVICE_ENDPOINT_DETAIL&amp;timeRange=last_15_minutes.BEFORE_NOW.-1.-1.15&amp;application=12&amp;component=49&amp;serviceEndpoint=2057</t>
  </si>
  <si>
    <t>http://10.175.1.14:8090/controller/#/location=APP_SERVICE_ENDPOINT_DETAIL&amp;timeRange=last_15_minutes.BEFORE_NOW.-1.-1.15&amp;application=12&amp;component=49&amp;serviceEndpoint=2409</t>
  </si>
  <si>
    <t>/net/s_entry</t>
  </si>
  <si>
    <t>http://10.175.1.14:8090/controller/#/location=APP_SERVICE_ENDPOINT_DETAIL&amp;timeRange=last_15_minutes.BEFORE_NOW.-1.-1.15&amp;application=12&amp;component=49&amp;serviceEndpoint=2410</t>
  </si>
  <si>
    <t>http://10.175.1.14:8090/controller/#/location=APP_SERVICE_ENDPOINT_DETAIL&amp;timeRange=last_15_minutes.BEFORE_NOW.-1.-1.15&amp;application=12&amp;component=49&amp;serviceEndpoint=2535</t>
  </si>
  <si>
    <t>http://10.175.1.14:8090/controller/#/location=APP_SERVICE_ENDPOINT_DETAIL&amp;timeRange=last_15_minutes.BEFORE_NOW.-1.-1.15&amp;application=12&amp;component=50&amp;serviceEndpoint=2526</t>
  </si>
  <si>
    <t>http://10.175.1.14:8090/controller/#/location=APP_SERVICE_ENDPOINT_DETAIL&amp;timeRange=last_15_minutes.BEFORE_NOW.-1.-1.15&amp;application=12&amp;component=50&amp;serviceEndpoint=1957</t>
  </si>
  <si>
    <t>/include/</t>
  </si>
  <si>
    <t>http://10.175.1.14:8090/controller/#/location=APP_SERVICE_ENDPOINT_DETAIL&amp;timeRange=last_15_minutes.BEFORE_NOW.-1.-1.15&amp;application=12&amp;component=50&amp;serviceEndpoint=2529</t>
  </si>
  <si>
    <t>/inet/</t>
  </si>
  <si>
    <t>http://10.175.1.14:8090/controller/#/location=APP_SERVICE_ENDPOINT_DETAIL&amp;timeRange=last_15_minutes.BEFORE_NOW.-1.-1.15&amp;application=12&amp;component=50&amp;serviceEndpoint=2527</t>
  </si>
  <si>
    <t>http://10.175.1.14:8090/controller/#/location=APP_SERVICE_ENDPOINT_DETAIL&amp;timeRange=last_15_minutes.BEFORE_NOW.-1.-1.15&amp;application=12&amp;component=50&amp;serviceEndpoint=2522</t>
  </si>
  <si>
    <t>http://10.175.1.14:8090/controller/#/location=APP_SERVICE_ENDPOINT_DETAIL&amp;timeRange=last_15_minutes.BEFORE_NOW.-1.-1.15&amp;application=12&amp;component=50&amp;serviceEndpoint=2530</t>
  </si>
  <si>
    <t>http://10.175.1.14:8090/controller/#/location=APP_SERVICE_ENDPOINT_DETAIL&amp;timeRange=last_15_minutes.BEFORE_NOW.-1.-1.15&amp;application=12&amp;component=50&amp;serviceEndpoint=2270</t>
  </si>
  <si>
    <t>/st/</t>
  </si>
  <si>
    <t>http://10.175.1.14:8090/controller/#/location=APP_SERVICE_ENDPOINT_DETAIL&amp;timeRange=last_15_minutes.BEFORE_NOW.-1.-1.15&amp;application=12&amp;component=50&amp;serviceEndpoint=2528</t>
  </si>
  <si>
    <t>http://10.175.1.14:8090/controller/#/location=APP_SERVICE_ENDPOINT_DETAIL&amp;timeRange=last_15_minutes.BEFORE_NOW.-1.-1.15&amp;application=12&amp;component=50&amp;serviceEndpoint=2252</t>
  </si>
  <si>
    <t>http://10.175.1.14:8090/controller/#/location=APP_SERVICE_ENDPOINT_DETAIL&amp;timeRange=last_15_minutes.BEFORE_NOW.-1.-1.15&amp;application=12&amp;component=50&amp;serviceEndpoint=2251</t>
  </si>
  <si>
    <t>http://10.175.1.14:8090/controller/#/location=APP_SERVICE_ENDPOINT_DETAIL&amp;timeRange=last_15_minutes.BEFORE_NOW.-1.-1.15&amp;application=12&amp;component=52&amp;serviceEndpoint=1959</t>
  </si>
  <si>
    <t>http://10.175.1.14:8090/controller/#/location=APP_SERVICE_ENDPOINT_DETAIL&amp;timeRange=last_15_minutes.BEFORE_NOW.-1.-1.15&amp;application=12&amp;component=51&amp;serviceEndpoint=1958</t>
  </si>
  <si>
    <t>http://10.175.1.14:8090/controller/#/location=APP_SERVICE_ENDPOINT_DETAIL&amp;timeRange=last_15_minutes.BEFORE_NOW.-1.-1.15&amp;application=12&amp;component=51&amp;serviceEndpoint=2534</t>
  </si>
  <si>
    <t>http://10.175.1.14:8090/controller/#/location=APP_SERVICE_ENDPOINT_DETAIL&amp;timeRange=last_15_minutes.BEFORE_NOW.-1.-1.15&amp;application=12&amp;component=51&amp;serviceEndpoint=2532</t>
  </si>
  <si>
    <t>http://10.175.1.14:8090/controller/#/location=APP_SERVICE_ENDPOINT_DETAIL&amp;timeRange=last_15_minutes.BEFORE_NOW.-1.-1.15&amp;application=12&amp;component=54&amp;serviceEndpoint=2066</t>
  </si>
  <si>
    <t>http://10.175.1.14:8090/controller/#/location=APP_SERVICE_ENDPOINT_DETAIL&amp;timeRange=last_15_minutes.BEFORE_NOW.-1.-1.15&amp;application=12&amp;component=53&amp;serviceEndpoint=2242</t>
  </si>
  <si>
    <t>http://10.175.1.14:8090/controller/#/location=APP_SERVICE_ENDPOINT_DETAIL&amp;timeRange=last_15_minutes.BEFORE_NOW.-1.-1.15&amp;application=12&amp;component=53&amp;serviceEndpoint=2531</t>
  </si>
  <si>
    <t>http://10.175.1.14:8090/controller/#/location=APP_SERVICE_ENDPOINT_DETAIL&amp;timeRange=last_15_minutes.BEFORE_NOW.-1.-1.15&amp;application=12&amp;component=53&amp;serviceEndpoint=1962</t>
  </si>
  <si>
    <t>http://10.175.1.14:8090/controller/#/location=APP_SERVICE_ENDPOINT_DETAIL&amp;timeRange=last_15_minutes.BEFORE_NOW.-1.-1.15&amp;application=12&amp;component=53&amp;serviceEndpoint=2241</t>
  </si>
  <si>
    <t>http://10.175.1.14:8090/controller/#/location=APP_SERVICE_ENDPOINT_DETAIL&amp;timeRange=last_15_minutes.BEFORE_NOW.-1.-1.15&amp;application=12&amp;component=53&amp;serviceEndpoint=2250</t>
  </si>
  <si>
    <t>http://10.175.1.14:8090/controller/#/location=APP_SERVICE_ENDPOINT_DETAIL&amp;timeRange=last_15_minutes.BEFORE_NOW.-1.-1.15&amp;application=12&amp;component=53&amp;serviceEndpoint=2249</t>
  </si>
  <si>
    <t>http://10.175.1.14:8090/controller/#/location=APP_SERVICE_ENDPOINT_DETAIL&amp;timeRange=last_15_minutes.BEFORE_NOW.-1.-1.15&amp;application=12&amp;component=56&amp;serviceEndpoint=2059</t>
  </si>
  <si>
    <t>http://10.175.1.14:8090/controller/#/location=APP_SERVICE_ENDPOINT_DETAIL&amp;timeRange=last_15_minutes.BEFORE_NOW.-1.-1.15&amp;application=12&amp;component=55&amp;serviceEndpoint=3177</t>
  </si>
  <si>
    <t>http://10.175.1.14:8090/controller/#/location=APP_SERVICE_ENDPOINT_DETAIL&amp;timeRange=last_15_minutes.BEFORE_NOW.-1.-1.15&amp;application=12&amp;component=55&amp;serviceEndpoint=2281</t>
  </si>
  <si>
    <t>http://10.175.1.14:8090/controller/#/location=APP_SERVICE_ENDPOINT_DETAIL&amp;timeRange=last_15_minutes.BEFORE_NOW.-1.-1.15&amp;application=12&amp;component=55&amp;serviceEndpoint=2055</t>
  </si>
  <si>
    <t>http://10.175.1.14:8090/controller/#/location=APP_SERVICE_ENDPOINT_DETAIL&amp;timeRange=last_15_minutes.BEFORE_NOW.-1.-1.15&amp;application=12&amp;component=55&amp;serviceEndpoint=3176</t>
  </si>
  <si>
    <t>http://10.175.1.14:8090/controller/#/location=APP_SERVICE_ENDPOINT_DETAIL&amp;timeRange=last_15_minutes.BEFORE_NOW.-1.-1.15&amp;application=12&amp;component=55&amp;serviceEndpoint=3055</t>
  </si>
  <si>
    <t>http://10.175.1.14:8090/controller/#/location=APP_SERVICE_ENDPOINT_DETAIL&amp;timeRange=last_15_minutes.BEFORE_NOW.-1.-1.15&amp;application=12&amp;component=55&amp;serviceEndpoint=3184</t>
  </si>
  <si>
    <t>http://10.175.1.14:8090/controller/#/location=APP_SERVICE_ENDPOINT_DETAIL&amp;timeRange=last_15_minutes.BEFORE_NOW.-1.-1.15&amp;application=12&amp;component=47&amp;serviceEndpoint=1954</t>
  </si>
  <si>
    <t>/ondelay/hello.jsp</t>
  </si>
  <si>
    <t>http://10.175.1.14:8090/controller/#/location=APP_SERVICE_ENDPOINT_DETAIL&amp;timeRange=last_15_minutes.BEFORE_NOW.-1.-1.15&amp;application=12&amp;component=47&amp;serviceEndpoint=5038</t>
  </si>
  <si>
    <t>http://10.175.1.14:8090/controller/#/location=APP_SERVICE_ENDPOINT_DETAIL&amp;timeRange=last_15_minutes.BEFORE_NOW.-1.-1.15&amp;application=12&amp;component=47&amp;serviceEndpoint=2255</t>
  </si>
  <si>
    <t>Errors by Type</t>
  </si>
  <si>
    <t>Location of Errors</t>
  </si>
  <si>
    <t>ErrorName</t>
  </si>
  <si>
    <t>ErrorType</t>
  </si>
  <si>
    <t>HttpCode</t>
  </si>
  <si>
    <t>ErrorDepth</t>
  </si>
  <si>
    <t>ErrorLevel1</t>
  </si>
  <si>
    <t>ErrorLevel2</t>
  </si>
  <si>
    <t>ErrorLevel3</t>
  </si>
  <si>
    <t>ErrorLevel4</t>
  </si>
  <si>
    <t>ErrorLevel5</t>
  </si>
  <si>
    <t>ErrorID</t>
  </si>
  <si>
    <t>ErrorLink</t>
  </si>
  <si>
    <t>ClassNotFoundException</t>
  </si>
  <si>
    <t>Exception</t>
  </si>
  <si>
    <t>com.mysql.cj.jdbc.exceptions.CommunicationsException:com.mysql.cj.exceptions.CJCommunicationsException:java.io.EOFException:</t>
  </si>
  <si>
    <t>com.mysql.cj.jdbc.exceptions.CommunicationsException</t>
  </si>
  <si>
    <t>com.mysql.cj.exceptions.CJCommunicationsException</t>
  </si>
  <si>
    <t>java.io.EOFException</t>
  </si>
  <si>
    <t>com.mysql.cj.jdbc.exceptions.CommunicationsException:com.mysql.cj.exceptions.CJCommunicationsException:java.net.SocketException:</t>
  </si>
  <si>
    <t>java.net.SocketException</t>
  </si>
  <si>
    <t>com.mysql.cj.jdbc.exceptions.CommunicationsException:com.mysql.cj.exceptions.CJCommunicationsException:javax.net.ssl.SSLException:java.net.SocketException:</t>
  </si>
  <si>
    <t>javax.net.ssl.SSLException</t>
  </si>
  <si>
    <t>com.mysql.cj.jdbc.exceptions.MySQLTransactionRollbackException:</t>
  </si>
  <si>
    <t>com.mysql.cj.jdbc.exceptions.MySQLTransactionRollbackException</t>
  </si>
  <si>
    <t>HTTP Error Code : 400</t>
  </si>
  <si>
    <t>HTTP</t>
  </si>
  <si>
    <t>HTTP Error Code</t>
  </si>
  <si>
    <t>400</t>
  </si>
  <si>
    <t>HTTP Error Code : 405</t>
  </si>
  <si>
    <t>405</t>
  </si>
  <si>
    <t>HTTP Error Code : 501</t>
  </si>
  <si>
    <t>501</t>
  </si>
  <si>
    <t>HTTP Error Code : 503</t>
  </si>
  <si>
    <t>503</t>
  </si>
  <si>
    <t>HTTP Error Code : 505</t>
  </si>
  <si>
    <t>505</t>
  </si>
  <si>
    <t>Internal Server Error : 500</t>
  </si>
  <si>
    <t>Internal Server Error</t>
  </si>
  <si>
    <t>500</t>
  </si>
  <si>
    <t>java.io.FileNotFoundException:</t>
  </si>
  <si>
    <t>java.io.FileNotFoundException</t>
  </si>
  <si>
    <t>java.lang.NullPointerException:</t>
  </si>
  <si>
    <t>java.lang.NullPointerException</t>
  </si>
  <si>
    <t>java.net.ConnectException:</t>
  </si>
  <si>
    <t>java.net.ConnectException</t>
  </si>
  <si>
    <t>java.rmi.ConnectException:</t>
  </si>
  <si>
    <t>java.rmi.ConnectException</t>
  </si>
  <si>
    <t>java.rmi.ConnectException:java.rmi.ConnectException:</t>
  </si>
  <si>
    <t>java.sql.SQLIntegrityConstraintViolationException:</t>
  </si>
  <si>
    <t>java.sql.SQLIntegrityConstraintViolationException</t>
  </si>
  <si>
    <t>java.sql.SQLSyntaxErrorException:</t>
  </si>
  <si>
    <t>java.sql.SQLSyntaxErrorException</t>
  </si>
  <si>
    <t>Log4J Error Messages</t>
  </si>
  <si>
    <t>Error</t>
  </si>
  <si>
    <t>Log4J Fatal Messages</t>
  </si>
  <si>
    <t>Page Not Found : 404</t>
  </si>
  <si>
    <t>Page Not Found</t>
  </si>
  <si>
    <t>404</t>
  </si>
  <si>
    <t>ProtocolException</t>
  </si>
  <si>
    <t>SQLException</t>
  </si>
  <si>
    <t>SQLNonTransientConnectionException</t>
  </si>
  <si>
    <t>Unauthorized : 401</t>
  </si>
  <si>
    <t>Unauthorized</t>
  </si>
  <si>
    <t>401</t>
  </si>
  <si>
    <t>UnknownHostException</t>
  </si>
  <si>
    <t>weblogic.jdbc.extensions.ConnectionDeadSQLException:</t>
  </si>
  <si>
    <t>weblogic.jdbc.extensions.ConnectionDeadSQLException</t>
  </si>
  <si>
    <t>weblogic.servlet.jsp.AddToMapException:</t>
  </si>
  <si>
    <t>weblogic.servlet.jsp.AddToMapException</t>
  </si>
  <si>
    <t>AddToMapException</t>
  </si>
  <si>
    <t>CommunicationsException : CJCommunicationsException : EOFException</t>
  </si>
  <si>
    <t>CommunicationsException</t>
  </si>
  <si>
    <t>CJCommunicationsException</t>
  </si>
  <si>
    <t>EOFException</t>
  </si>
  <si>
    <t>CommunicationsException : CJCommunicationsException : SocketException</t>
  </si>
  <si>
    <t>SocketException</t>
  </si>
  <si>
    <t>ConnectException</t>
  </si>
  <si>
    <t>ConnectException : ConnectException</t>
  </si>
  <si>
    <t>FileNotFoundException</t>
  </si>
  <si>
    <t>MySQLTransactionRollbackException</t>
  </si>
  <si>
    <t>SQLIntegrityConstraintViolationException</t>
  </si>
  <si>
    <t>SQLSyntaxErrorException</t>
  </si>
  <si>
    <t>ExceptionInInitializerError : NullPointerException</t>
  </si>
  <si>
    <t>ExceptionInInitializerError</t>
  </si>
  <si>
    <t>NullPointerException</t>
  </si>
  <si>
    <t>NoClassDefFoundError</t>
  </si>
  <si>
    <t>PoolLimitSQLException</t>
  </si>
  <si>
    <t>java.lang.ClassNotFoundException:</t>
  </si>
  <si>
    <t>java.lang.ClassNotFoundException</t>
  </si>
  <si>
    <t>java.net.UnknownHostException:</t>
  </si>
  <si>
    <t>java.net.UnknownHostException</t>
  </si>
  <si>
    <t>SSLHandshakeException : SSLHandshakeException : ValidatorException : SunCertPathBuilderException</t>
  </si>
  <si>
    <t>SSLHandshakeException</t>
  </si>
  <si>
    <t>ValidatorException</t>
  </si>
  <si>
    <t>SunCertPathBuilderException</t>
  </si>
  <si>
    <t>MSM_Exception</t>
  </si>
  <si>
    <t>ParseError</t>
  </si>
  <si>
    <t>PDOException</t>
  </si>
  <si>
    <t>PHP Errors</t>
  </si>
  <si>
    <t>BatchUpdateException : SQLSyntaxErrorException</t>
  </si>
  <si>
    <t>BatchUpdateException</t>
  </si>
  <si>
    <t>CommunicationsException : CJCommunicationsException : SSLException : SocketException</t>
  </si>
  <si>
    <t>SSLException</t>
  </si>
  <si>
    <t>ConnectionDeadSQLException</t>
  </si>
  <si>
    <t>java.sql.SQLException:</t>
  </si>
  <si>
    <t>java.sql.SQLException</t>
  </si>
  <si>
    <t>java.sql.SQLNonTransientConnectionException:</t>
  </si>
  <si>
    <t>java.sql.SQLNonTransientConnectionException</t>
  </si>
  <si>
    <t>JMSException : JMSException : JMSException : JMSException : JMSException : KernelException</t>
  </si>
  <si>
    <t>JMSException</t>
  </si>
  <si>
    <t>PoolDisabledSQLException</t>
  </si>
  <si>
    <t>SQLException : CommunicationsException : CJCommunicationsException : SSLException : SocketException</t>
  </si>
  <si>
    <t>SQLNonTransientConnectionException : ConnectionIsClosedException : CJCommunicationsException : EOFException</t>
  </si>
  <si>
    <t>ConnectionIsClosedException</t>
  </si>
  <si>
    <t>SQLNonTransientConnectionException : ConnectionIsClosedException : CJCommunicationsException : SocketException</t>
  </si>
  <si>
    <t>SQLNonTransientConnectionException : ConnectionIsClosedException : CJCommunicationsException : SSLException : SocketException</t>
  </si>
  <si>
    <t>BackEndException</t>
  </si>
  <si>
    <t>ClientAbortException : IOException</t>
  </si>
  <si>
    <t>ClientAbortException</t>
  </si>
  <si>
    <t>IOException</t>
  </si>
  <si>
    <t>IllegalStateException : LifecycleException : IllegalArgumentException</t>
  </si>
  <si>
    <t>IllegalStateException</t>
  </si>
  <si>
    <t>LifecycleException</t>
  </si>
  <si>
    <t>IllegalArgumentException</t>
  </si>
  <si>
    <t>InternalErrorException</t>
  </si>
  <si>
    <t>LifecycleException : IllegalArgumentException</t>
  </si>
  <si>
    <t>MissingResourceException</t>
  </si>
  <si>
    <t>MQException</t>
  </si>
  <si>
    <t xml:space="preserve">MQException :  : UnsatisfiedLinkError</t>
  </si>
  <si>
    <t>UnsatisfiedLinkError</t>
  </si>
  <si>
    <t>MQExceptionWrapper</t>
  </si>
  <si>
    <t>NoClassDefFoundError : ClassNotFoundException</t>
  </si>
  <si>
    <t>SecurityViolationException</t>
  </si>
  <si>
    <t>ServletException : ClientAbortException : IOException</t>
  </si>
  <si>
    <t>ServletException</t>
  </si>
  <si>
    <t>TimeOutException</t>
  </si>
  <si>
    <t>ConnectException : ConnectException : ConnectException</t>
  </si>
  <si>
    <t>weblogic.jdbc.extensions.PoolDisabledSQLException:</t>
  </si>
  <si>
    <t>weblogic.jdbc.extensions.PoolDisabledSQLException</t>
  </si>
  <si>
    <t>weblogic.jdbc.extensions.PoolLimitSQLException:</t>
  </si>
  <si>
    <t>weblogic.jdbc.extensions.PoolLimitSQLException</t>
  </si>
  <si>
    <t>Error:</t>
  </si>
  <si>
    <t>MSM_Exception:</t>
  </si>
  <si>
    <t>Agent Internal: com.singularity.ReflectionError</t>
  </si>
  <si>
    <t>Agent Internal</t>
  </si>
  <si>
    <t>com.singularity.ReflectionError</t>
  </si>
  <si>
    <t>java.rmi.ConnectException:java.rmi.ConnectException:java.rmi.ConnectException:</t>
  </si>
  <si>
    <t>java.sql.SQLNonTransientConnectionException:com.mysql.cj.exceptions.ConnectionIsClosedException:com.mysql.cj.exceptions.CJCommunicationsException:java.io.EOFException:</t>
  </si>
  <si>
    <t>com.mysql.cj.exceptions.ConnectionIsClosedException</t>
  </si>
  <si>
    <t>java.sql.SQLNonTransientConnectionException:com.mysql.cj.exceptions.ConnectionIsClosedException:com.mysql.cj.exceptions.CJCommunicationsException:javax.net.ssl.SSLException:java.net.SocketException:</t>
  </si>
  <si>
    <t>weblogic.jms.common.JMSException:weblogic.jms.common.JMSException:weblogic.jms.common.JMSException:weblogic.jms.common.JMSException:weblogic.jms.common.JMSException:weblogic.messaging.kernel.KernelException:</t>
  </si>
  <si>
    <t>weblogic.jms.common.JMSException</t>
  </si>
  <si>
    <t>com.ibm.mq.headers.MQExceptionWrapper:</t>
  </si>
  <si>
    <t>com.ibm.mq.headers.MQExceptionWrapper</t>
  </si>
  <si>
    <t>com.ibm.mq.MQException:</t>
  </si>
  <si>
    <t>com.ibm.mq.MQException</t>
  </si>
  <si>
    <t>com.ufjcard.wlc.common.mq_interface.muse.common.TimeOutException:</t>
  </si>
  <si>
    <t>com.ufjcard.wlc.common.mq_interface.muse.common.TimeOutException</t>
  </si>
  <si>
    <t>PCFException</t>
  </si>
  <si>
    <t>Information Points by Type</t>
  </si>
  <si>
    <t>IPName</t>
  </si>
  <si>
    <t>IPType</t>
  </si>
  <si>
    <t>IPID</t>
  </si>
  <si>
    <t>IPLink</t>
  </si>
  <si>
    <t>Mapped Backends by Type</t>
  </si>
  <si>
    <t>Calls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</si>
</sst>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worksheet" Target="worksheets/sheet30.xml"/><Relationship Id="rId32" Type="http://schemas.openxmlformats.org/officeDocument/2006/relationships/worksheet" Target="worksheets/sheet31.xml"/><Relationship Id="rId33" Type="http://schemas.openxmlformats.org/officeDocument/2006/relationships/worksheet" Target="worksheets/sheet32.xml"/><Relationship Id="rId34" Type="http://schemas.openxmlformats.org/officeDocument/2006/relationships/worksheet" Target="worksheets/sheet33.xml"/><Relationship Id="rId35" Type="http://schemas.openxmlformats.org/officeDocument/2006/relationships/worksheet" Target="worksheets/sheet34.xml"/><Relationship Id="rId36" Type="http://schemas.openxmlformats.org/officeDocument/2006/relationships/worksheet" Target="worksheets/sheet35.xml"/><Relationship Id="rId37" Type="http://schemas.openxmlformats.org/officeDocument/2006/relationships/worksheet" Target="worksheets/sheet36.xml"/><Relationship Id="rId38" Type="http://schemas.openxmlformats.org/officeDocument/2006/relationships/worksheet" Target="worksheets/sheet37.xml"/><Relationship Id="rId39" Type="http://schemas.openxmlformats.org/officeDocument/2006/relationships/worksheet" Target="worksheets/sheet38.xml"/><Relationship Id="rId40" Type="http://schemas.openxmlformats.org/officeDocument/2006/relationships/worksheet" Target="worksheets/sheet39.xml"/><Relationship Id="rId41" Type="http://schemas.openxmlformats.org/officeDocument/2006/relationships/worksheet" Target="worksheets/sheet40.xml"/><Relationship Id="rId42" Type="http://schemas.openxmlformats.org/officeDocument/2006/relationships/pivotCacheDefinition" Target="/xl/pivotCache/pivotCacheDefinition1.xml"/><Relationship Id="rId43" Type="http://schemas.openxmlformats.org/officeDocument/2006/relationships/pivotCacheDefinition" Target="/xl/pivotCache/pivotCacheDefinition2.xml"/><Relationship Id="rId44" Type="http://schemas.openxmlformats.org/officeDocument/2006/relationships/pivotCacheDefinition" Target="/xl/pivotCache/pivotCacheDefinition3.xml"/><Relationship Id="rId45" Type="http://schemas.openxmlformats.org/officeDocument/2006/relationships/pivotCacheDefinition" Target="/xl/pivotCache/pivotCacheDefinition4.xml"/><Relationship Id="rId46" Type="http://schemas.openxmlformats.org/officeDocument/2006/relationships/pivotCacheDefinition" Target="/xl/pivotCache/pivotCacheDefinition5.xml"/><Relationship Id="rId47" Type="http://schemas.openxmlformats.org/officeDocument/2006/relationships/pivotCacheDefinition" Target="/xl/pivotCache/pivotCacheDefinition6.xml"/><Relationship Id="rId48" Type="http://schemas.openxmlformats.org/officeDocument/2006/relationships/pivotCacheDefinition" Target="/xl/pivotCache/pivotCacheDefinition7.xml"/><Relationship Id="rId49" Type="http://schemas.openxmlformats.org/officeDocument/2006/relationships/pivotCacheDefinition" Target="/xl/pivotCache/pivotCacheDefinition8.xml"/><Relationship Id="rId50" Type="http://schemas.openxmlformats.org/officeDocument/2006/relationships/pivotCacheDefinition" Target="/xl/pivotCache/pivotCacheDefinition9.xml"/><Relationship Id="rId51" Type="http://schemas.openxmlformats.org/officeDocument/2006/relationships/pivotCacheDefinition" Target="/xl/pivotCache/pivotCacheDefinition10.xml"/><Relationship Id="rId52" Type="http://schemas.openxmlformats.org/officeDocument/2006/relationships/pivotCacheDefinition" Target="/xl/pivotCache/pivotCacheDefinition11.xml"/><Relationship Id="rId53" Type="http://schemas.openxmlformats.org/officeDocument/2006/relationships/pivotCacheDefinition" Target="/xl/pivotCache/pivotCacheDefinition12.xml"/><Relationship Id="rId54" Type="http://schemas.openxmlformats.org/officeDocument/2006/relationships/pivotCacheDefinition" Target="/xl/pivotCache/pivotCacheDefinition13.xml"/><Relationship Id="rId55" Type="http://schemas.openxmlformats.org/officeDocument/2006/relationships/pivotCacheDefinition" Target="/xl/pivotCache/pivotCacheDefinition14.xml"/><Relationship Id="rId56" Type="http://schemas.openxmlformats.org/officeDocument/2006/relationships/pivotCacheDefinition" Target="/xl/pivotCache/pivotCacheDefinition15.xml"/><Relationship Id="rId57" Type="http://schemas.openxmlformats.org/officeDocument/2006/relationships/pivotCacheDefinition" Target="/xl/pivotCache/pivotCacheDefinition16.xml"/><Relationship Id="rId58" Type="http://schemas.openxmlformats.org/officeDocument/2006/relationships/pivotCacheDefinition" Target="/xl/pivotCache/pivotCacheDefinition17.xml"/><Relationship Id="rId59" Type="http://schemas.openxmlformats.org/officeDocument/2006/relationships/pivotCacheDefinition" Target="/xl/pivotCache/pivotCacheDefinition18.xml"/><Relationship Id="rId60" Type="http://schemas.openxmlformats.org/officeDocument/2006/relationships/pivotCacheDefinition" Target="/xl/pivotCache/pivotCacheDefinition19.xml"/><Relationship Id="rId61" Type="http://schemas.openxmlformats.org/officeDocument/2006/relationships/pivotCacheDefinition" Target="/xl/pivotCache/pivotCacheDefinition20.xml"/><Relationship Id="rId6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[]6.Tiers.Type!p_TiersType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'6.Tiers.Type'!$A$21</c:f>
            </c:multiLvlStrRef>
          </c:cat>
          <c:val>
            <c:numRef>
              <c:f>'6.Tiers.Type'!$B$21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[]12.Errors.Type!p_ErrorsType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'12.Errors.Type'!$A$21</c:f>
            </c:multiLvlStrRef>
          </c:cat>
          <c:val>
            <c:numRef>
              <c:f>'12.Errors.Type'!$B$21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[]7.Nodes.Type.AppAgent!p_NodesTypeAppAgent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'7.Nodes.Type.AppAgent'!$A$21</c:f>
            </c:multiLvlStrRef>
          </c:cat>
          <c:val>
            <c:numRef>
              <c:f>'7.Nodes.Type.AppAgent'!$B$21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[]7.Nodes.Type.MachineAgent!p_NodesTypeMachineAgent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'7.Nodes.Type.MachineAgent'!$A$21</c:f>
            </c:multiLvlStrRef>
          </c:cat>
          <c:val>
            <c:numRef>
              <c:f>'7.Nodes.Type.MachineAgent'!$B$21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[]7.Nodes.Host.Type!p_NodesTypeHost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'7.Nodes.Host.Type'!$A$21</c:f>
            </c:multiLvlStrRef>
          </c:cat>
          <c:val>
            <c:numRef>
              <c:f>'7.Nodes.Host.Type'!$B$21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[]7.Nodes.Heap.Size!p_NodesHeapSize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'7.Nodes.Heap.Size'!$A$22</c:f>
            </c:multiLvlStrRef>
          </c:cat>
          <c:val>
            <c:numRef>
              <c:f>'7.Nodes.Heap.Size'!$B$22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[]7.Nodes.Runtime.Version!p_NodesRuntimeVersion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'7.Nodes.Runtime.Version'!$A$21</c:f>
            </c:multiLvlStrRef>
          </c:cat>
          <c:val>
            <c:numRef>
              <c:f>'7.Nodes.Runtime.Version'!$B$21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[]9.Backends.Type!p_BackendsType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'9.Backends.Type'!$A$21</c:f>
            </c:multiLvlStrRef>
          </c:cat>
          <c:val>
            <c:numRef>
              <c:f>'9.Backends.Type'!$B$21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[]10.BTs.Type!p_BusinessTransactionsType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'10.BTs.Type'!$A$21</c:f>
            </c:multiLvlStrRef>
          </c:cat>
          <c:val>
            <c:numRef>
              <c:f>'10.BTs.Type'!$B$21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[]11.SEPs.Type!p_ServiceEndpointsType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'11.SEPs.Type'!$A$21</c:f>
            </c:multiLvlStrRef>
          </c:cat>
          <c:val>
            <c:numRef>
              <c:f>'11.SEPs.Type'!$B$21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/></Relationships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2" name="g_NodesTypeMachineAgen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3" name="g_NodesTypeHos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4" name="g_NodesHeapSiz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5" name="g_NodesRuntimeVers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6" name="g_Backends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7" name="g_BusinessTransactions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8" name="g_ServiceEndpoints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9" name="g_Errors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0" name="g_TiersTyp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1" name="g_NodesTypeAppAgen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.xml"/></Relationships>
</file>

<file path=xl/pivotCache/_rels/pivotCacheDefinition10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0.xml"/></Relationships>
</file>

<file path=xl/pivotCache/_rels/pivotCacheDefinition11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1.xml"/></Relationships>
</file>

<file path=xl/pivotCache/_rels/pivotCacheDefinition12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2.xml"/></Relationships>
</file>

<file path=xl/pivotCache/_rels/pivotCacheDefinition13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3.xml"/></Relationships>
</file>

<file path=xl/pivotCache/_rels/pivotCacheDefinition14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4.xml"/></Relationships>
</file>

<file path=xl/pivotCache/_rels/pivotCacheDefinition15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5.xml"/></Relationships>
</file>

<file path=xl/pivotCache/_rels/pivotCacheDefinition16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6.xml"/></Relationships>
</file>

<file path=xl/pivotCache/_rels/pivotCacheDefinition17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7.xml"/></Relationships>
</file>

<file path=xl/pivotCache/_rels/pivotCacheDefinition18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8.xml"/></Relationships>
</file>

<file path=xl/pivotCache/_rels/pivotCacheDefinition19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9.xml"/></Relationships>
</file>

<file path=xl/pivotCache/_rels/pivotCacheDefinition2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2.xml"/></Relationships>
</file>

<file path=xl/pivotCache/_rels/pivotCacheDefinition20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20.xml"/></Relationships>
</file>

<file path=xl/pivotCache/_rels/pivotCacheDefinition3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3.xml"/></Relationships>
</file>

<file path=xl/pivotCache/_rels/pivotCacheDefinition4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4.xml"/></Relationships>
</file>

<file path=xl/pivotCache/_rels/pivotCacheDefinition5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5.xml"/></Relationships>
</file>

<file path=xl/pivotCache/_rels/pivotCacheDefinition6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6.xml"/></Relationships>
</file>

<file path=xl/pivotCache/_rels/pivotCacheDefinition7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7.xml"/></Relationships>
</file>

<file path=xl/pivotCache/_rels/pivotCacheDefinition8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8.xml"/></Relationships>
</file>

<file path=xl/pivotCache/_rels/pivotCacheDefinition9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6.Tiers" name="t_Tiers"/>
  </cacheSource>
  <cacheFields count="19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TierType" numFmtId="0">
      <sharedItems containsBlank="1"/>
    </cacheField>
    <cacheField name="Description" numFmtId="0">
      <sharedItems containsBlank="1"/>
    </cacheField>
    <cacheField name="AgentType" numFmtId="0">
      <sharedItems containsBlank="1"/>
    </cacheField>
    <cacheField name="NumNodes" numFmtId="0">
      <sharedItems containsBlank="1"/>
    </cacheField>
    <cacheField name="NumBTs" numFmtId="0">
      <sharedItems containsBlank="1"/>
    </cacheField>
    <cacheField name="NumSEPs" numFmtId="0">
      <sharedItems containsBlank="1"/>
    </cacheField>
    <cacheField name="NumError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</cacheFields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VM Properties" name="t_NodePropertie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Env Variables" name="t_NodeEnvironmentVariable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Definition12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Env Variables" name="t_NodeEnvironmentVariable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Definition13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9.Backends" name="t_Backends"/>
  </cacheSource>
  <cacheFields count="31">
    <cacheField name="Controller" numFmtId="0">
      <sharedItems containsBlank="1"/>
    </cacheField>
    <cacheField name="ApplicationName" numFmtId="0">
      <sharedItems containsBlank="1"/>
    </cacheField>
    <cacheField name="BackendName" numFmtId="0">
      <sharedItems containsBlank="1"/>
    </cacheField>
    <cacheField name="Backend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NumProps" numFmtId="0">
      <sharedItems containsBlank="1"/>
    </cacheField>
    <cacheField name="Prop1Name" numFmtId="0">
      <sharedItems containsBlank="1"/>
    </cacheField>
    <cacheField name="Prop1Value" numFmtId="0">
      <sharedItems containsBlank="1"/>
    </cacheField>
    <cacheField name="Prop2Name" numFmtId="0">
      <sharedItems containsBlank="1"/>
    </cacheField>
    <cacheField name="Prop2Value" numFmtId="0">
      <sharedItems containsBlank="1"/>
    </cacheField>
    <cacheField name="Prop3Name" numFmtId="0">
      <sharedItems containsBlank="1"/>
    </cacheField>
    <cacheField name="Prop3Value" numFmtId="0">
      <sharedItems containsBlank="1"/>
    </cacheField>
    <cacheField name="Prop4Name" numFmtId="0">
      <sharedItems containsBlank="1"/>
    </cacheField>
    <cacheField name="Prop4Value" numFmtId="0">
      <sharedItems containsBlank="1"/>
    </cacheField>
    <cacheField name="Prop5Name" numFmtId="0">
      <sharedItems containsBlank="1"/>
    </cacheField>
    <cacheField name="Prop5Value" numFmtId="0">
      <sharedItems containsBlank="1"/>
    </cacheField>
    <cacheField name="Prop6Name" numFmtId="0">
      <sharedItems containsBlank="1"/>
    </cacheField>
    <cacheField name="Prop6Value" numFmtId="0">
      <sharedItems containsBlank="1"/>
    </cacheField>
    <cacheField name="Prop7Name" numFmtId="0">
      <sharedItems containsBlank="1"/>
    </cacheField>
    <cacheField name="Prop7Value" numFmtId="0">
      <sharedItems containsBlank="1"/>
    </cacheField>
    <cacheField name="DBMonCollectorName" numFmtId="0">
      <sharedItems containsBlank="1"/>
    </cacheField>
    <cacheField name="DBMonCollectorType" numFmtId="0">
      <sharedItems containsBlank="1"/>
    </cacheField>
    <cacheField name="ApplicationID" numFmtId="0">
      <sharedItems containsBlank="1"/>
    </cacheField>
    <cacheField name="BackendID" numFmtId="0">
      <sharedItems containsBlank="1"/>
    </cacheField>
    <cacheField name="DBMonCollectorConfigID" numFmtId="0">
      <sharedItems containsBlank="1"/>
    </cacheField>
    <cacheField name="MetricGraphLink" numFmtId="0">
      <sharedItems containsBlank="1"/>
    </cacheField>
    <cacheField name="Detail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BackendLink" numFmtId="0">
      <sharedItems containsBlank="1"/>
    </cacheField>
  </cacheFields>
</pivotCacheDefinition>
</file>

<file path=xl/pivotCache/pivotCacheDefinition14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9.Backends" name="t_Backends"/>
  </cacheSource>
  <cacheFields count="31">
    <cacheField name="Controller" numFmtId="0">
      <sharedItems containsBlank="1"/>
    </cacheField>
    <cacheField name="ApplicationName" numFmtId="0">
      <sharedItems containsBlank="1"/>
    </cacheField>
    <cacheField name="BackendName" numFmtId="0">
      <sharedItems containsBlank="1"/>
    </cacheField>
    <cacheField name="Backend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NumProps" numFmtId="0">
      <sharedItems containsBlank="1"/>
    </cacheField>
    <cacheField name="Prop1Name" numFmtId="0">
      <sharedItems containsBlank="1"/>
    </cacheField>
    <cacheField name="Prop1Value" numFmtId="0">
      <sharedItems containsBlank="1"/>
    </cacheField>
    <cacheField name="Prop2Name" numFmtId="0">
      <sharedItems containsBlank="1"/>
    </cacheField>
    <cacheField name="Prop2Value" numFmtId="0">
      <sharedItems containsBlank="1"/>
    </cacheField>
    <cacheField name="Prop3Name" numFmtId="0">
      <sharedItems containsBlank="1"/>
    </cacheField>
    <cacheField name="Prop3Value" numFmtId="0">
      <sharedItems containsBlank="1"/>
    </cacheField>
    <cacheField name="Prop4Name" numFmtId="0">
      <sharedItems containsBlank="1"/>
    </cacheField>
    <cacheField name="Prop4Value" numFmtId="0">
      <sharedItems containsBlank="1"/>
    </cacheField>
    <cacheField name="Prop5Name" numFmtId="0">
      <sharedItems containsBlank="1"/>
    </cacheField>
    <cacheField name="Prop5Value" numFmtId="0">
      <sharedItems containsBlank="1"/>
    </cacheField>
    <cacheField name="Prop6Name" numFmtId="0">
      <sharedItems containsBlank="1"/>
    </cacheField>
    <cacheField name="Prop6Value" numFmtId="0">
      <sharedItems containsBlank="1"/>
    </cacheField>
    <cacheField name="Prop7Name" numFmtId="0">
      <sharedItems containsBlank="1"/>
    </cacheField>
    <cacheField name="Prop7Value" numFmtId="0">
      <sharedItems containsBlank="1"/>
    </cacheField>
    <cacheField name="DBMonCollectorName" numFmtId="0">
      <sharedItems containsBlank="1"/>
    </cacheField>
    <cacheField name="DBMonCollectorType" numFmtId="0">
      <sharedItems containsBlank="1"/>
    </cacheField>
    <cacheField name="ApplicationID" numFmtId="0">
      <sharedItems containsBlank="1"/>
    </cacheField>
    <cacheField name="BackendID" numFmtId="0">
      <sharedItems containsBlank="1"/>
    </cacheField>
    <cacheField name="DBMonCollectorConfigID" numFmtId="0">
      <sharedItems containsBlank="1"/>
    </cacheField>
    <cacheField name="MetricGraphLink" numFmtId="0">
      <sharedItems containsBlank="1"/>
    </cacheField>
    <cacheField name="Detail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BackendLink" numFmtId="0">
      <sharedItems containsBlank="1"/>
    </cacheField>
  </cacheFields>
</pivotCacheDefinition>
</file>

<file path=xl/pivotCache/pivotCacheDefinition15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0.Business Transactions" name="t_BusinessTransactions"/>
  </cacheSource>
  <cacheFields count="2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BTName" numFmtId="0">
      <sharedItems containsBlank="1"/>
    </cacheField>
    <cacheField name="BTNameOriginal" numFmtId="0">
      <sharedItems containsBlank="1"/>
    </cacheField>
    <cacheField name="IsRenamed" numFmtId="0">
      <sharedItems containsBlank="1"/>
    </cacheField>
    <cacheField name="BT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BT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BTLink" numFmtId="0">
      <sharedItems containsBlank="1"/>
    </cacheField>
  </cacheFields>
</pivotCacheDefinition>
</file>

<file path=xl/pivotCache/pivotCacheDefinition16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0.Business Transactions" name="t_BusinessTransactions"/>
  </cacheSource>
  <cacheFields count="2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BTName" numFmtId="0">
      <sharedItems containsBlank="1"/>
    </cacheField>
    <cacheField name="BTNameOriginal" numFmtId="0">
      <sharedItems containsBlank="1"/>
    </cacheField>
    <cacheField name="IsRenamed" numFmtId="0">
      <sharedItems containsBlank="1"/>
    </cacheField>
    <cacheField name="BT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BT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BTLink" numFmtId="0">
      <sharedItems containsBlank="1"/>
    </cacheField>
  </cacheFields>
</pivotCacheDefinition>
</file>

<file path=xl/pivotCache/pivotCacheDefinition17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1.SEPs" name="t_ServiceEndpoints"/>
  </cacheSource>
  <cacheFields count="16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SEPName" numFmtId="0">
      <sharedItems containsBlank="1"/>
    </cacheField>
    <cacheField name="SEP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SEP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SEPLink" numFmtId="0">
      <sharedItems containsBlank="1"/>
    </cacheField>
  </cacheFields>
</pivotCacheDefinition>
</file>

<file path=xl/pivotCache/pivotCacheDefinition18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1.SEPs" name="t_ServiceEndpoints"/>
  </cacheSource>
  <cacheFields count="16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SEPName" numFmtId="0">
      <sharedItems containsBlank="1"/>
    </cacheField>
    <cacheField name="SEPType" numFmtId="0">
      <sharedItems containsBlank="1"/>
    </cacheField>
    <cacheField name="IsExplicitRule" numFmtId="0">
      <sharedItems containsBlank="1"/>
    </cacheField>
    <cacheField name="RuleNam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SEP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SEPLink" numFmtId="0">
      <sharedItems containsBlank="1"/>
    </cacheField>
  </cacheFields>
</pivotCacheDefinition>
</file>

<file path=xl/pivotCache/pivotCacheDefinition19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2.Errors" name="t_Errors"/>
  </cacheSource>
  <cacheFields count="21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ErrorName" numFmtId="0">
      <sharedItems containsBlank="1"/>
    </cacheField>
    <cacheField name="ErrorType" numFmtId="0">
      <sharedItems containsBlank="1"/>
    </cacheField>
    <cacheField name="HttpCode" numFmtId="0">
      <sharedItems containsBlank="1"/>
    </cacheField>
    <cacheField name="ErrorDepth" numFmtId="0">
      <sharedItems containsBlank="1"/>
    </cacheField>
    <cacheField name="ErrorLevel1" numFmtId="0">
      <sharedItems containsBlank="1"/>
    </cacheField>
    <cacheField name="ErrorLevel2" numFmtId="0">
      <sharedItems containsBlank="1"/>
    </cacheField>
    <cacheField name="ErrorLevel3" numFmtId="0">
      <sharedItems containsBlank="1"/>
    </cacheField>
    <cacheField name="ErrorLevel4" numFmtId="0">
      <sharedItems containsBlank="1"/>
    </cacheField>
    <cacheField name="ErrorLevel5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Error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ErrorLink" numFmtId="0">
      <sharedItems containsBlank="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Nodes" name="t_Nodes"/>
  </cacheSource>
  <cacheFields count="64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gentVersion" numFmtId="0">
      <sharedItems containsBlank="1"/>
    </cacheField>
    <cacheField name="AgentVersionRaw" numFmtId="0">
      <sharedItems containsBlank="1"/>
    </cacheField>
    <cacheField name="AgentPresent" numFmtId="0">
      <sharedItems containsBlank="1"/>
    </cacheField>
    <cacheField name="MachineName" numFmtId="0">
      <sharedItems containsBlank="1"/>
    </cacheField>
    <cacheField name="MachineAgentVersion" numFmtId="0">
      <sharedItems containsBlank="1"/>
    </cacheField>
    <cacheField name="MachineAgentVersionRaw" numFmtId="0">
      <sharedItems containsBlank="1"/>
    </cacheField>
    <cacheField name="MachineAgentPresent" numFmtId="0">
      <sharedItems containsBlank="1"/>
    </cacheField>
    <cacheField name="MachineOSType" numFmtId="0">
      <sharedItems containsBlank="1"/>
    </cacheField>
    <cacheField name="MachineType" numFmtId="0">
      <sharedItems containsBlank="1"/>
    </cacheField>
    <cacheField name="AgentRuntime" numFmtId="0">
      <sharedItems containsBlank="1"/>
    </cacheField>
    <cacheField name="InstallDirectory" numFmtId="0">
      <sharedItems containsBlank="1"/>
    </cacheField>
    <cacheField name="InstallTime" numFmtId="0">
      <sharedItems containsBlank="1"/>
    </cacheField>
    <cacheField name="LastStartTime" numFmtId="0">
      <sharedItems containsBlank="1"/>
    </cacheField>
    <cacheField name="IsDisabled" numFmtId="0">
      <sharedItems containsBlank="1"/>
    </cacheField>
    <cacheField name="IsMonitoringDisabled" numFmtId="0">
      <sharedItems containsBlank="1"/>
    </cacheField>
    <cacheField name="WebHostContainerType" numFmtId="0">
      <sharedItems containsBlank="1"/>
    </cacheField>
    <cacheField name="CloudHostType" numFmtId="0">
      <sharedItems containsBlank="1"/>
    </cacheField>
    <cacheField name="CloudRegion" numFmtId="0">
      <sharedItems containsBlank="1"/>
    </cacheField>
    <cacheField name="ContainerRuntimeType" numFmtId="0">
      <sharedItems containsBlank="1"/>
    </cacheField>
    <cacheField name="HeapInitialSizeMB" numFmtId="0">
      <sharedItems containsBlank="1"/>
    </cacheField>
    <cacheField name="HeapMaxSizeMB" numFmtId="0">
      <sharedItems containsBlank="1"/>
    </cacheField>
    <cacheField name="HeapYoungInitialSizeMB" numFmtId="0">
      <sharedItems containsBlank="1"/>
    </cacheField>
    <cacheField name="HeapYoungMaxSizeMB" numFmtId="0">
      <sharedItems containsBlank="1"/>
    </cacheField>
    <cacheField name="ClassPath" numFmtId="0">
      <sharedItems containsBlank="1"/>
    </cacheField>
    <cacheField name="ClassVersion" numFmtId="0">
      <sharedItems containsBlank="1"/>
    </cacheField>
    <cacheField name="Home" numFmtId="0">
      <sharedItems containsBlank="1"/>
    </cacheField>
    <cacheField name="RuntimeName" numFmtId="0">
      <sharedItems containsBlank="1"/>
    </cacheField>
    <cacheField name="RuntimeVersion" numFmtId="0">
      <sharedItems containsBlank="1"/>
    </cacheField>
    <cacheField name="Vendor" numFmtId="0">
      <sharedItems containsBlank="1"/>
    </cacheField>
    <cacheField name="VendorVersion" numFmtId="0">
      <sharedItems containsBlank="1"/>
    </cacheField>
    <cacheField name="Version" numFmtId="0">
      <sharedItems containsBlank="1"/>
    </cacheField>
    <cacheField name="VMInfo" numFmtId="0">
      <sharedItems containsBlank="1"/>
    </cacheField>
    <cacheField name="VMName" numFmtId="0">
      <sharedItems containsBlank="1"/>
    </cacheField>
    <cacheField name="VMVendor" numFmtId="0">
      <sharedItems containsBlank="1"/>
    </cacheField>
    <cacheField name="VMVersion" numFmtId="0">
      <sharedItems containsBlank="1"/>
    </cacheField>
    <cacheField name="OSArchitecture" numFmtId="0">
      <sharedItems containsBlank="1"/>
    </cacheField>
    <cacheField name="OSName" numFmtId="0">
      <sharedItems containsBlank="1"/>
    </cacheField>
    <cacheField name="OSVersion" numFmtId="0">
      <sharedItems containsBlank="1"/>
    </cacheField>
    <cacheField name="OSComputerName" numFmtId="0">
      <sharedItems containsBlank="1"/>
    </cacheField>
    <cacheField name="OSProcessorType" numFmtId="0">
      <sharedItems containsBlank="1"/>
    </cacheField>
    <cacheField name="OSProcessorRevision" numFmtId="0">
      <sharedItems containsBlank="1"/>
    </cacheField>
    <cacheField name="OSNumberOfProcs" numFmtId="0">
      <sharedItems containsBlank="1"/>
    </cacheField>
    <cacheField name="UserName" numFmtId="0">
      <sharedItems containsBlank="1"/>
    </cacheField>
    <cacheField name="Domain" numFmtId="0">
      <sharedItems containsBlank="1"/>
    </cacheField>
    <cacheField name="NumStartupOptions" numFmtId="0">
      <sharedItems containsBlank="1"/>
    </cacheField>
    <cacheField name="NumProperties" numFmtId="0">
      <sharedItems containsBlank="1"/>
    </cacheField>
    <cacheField name="NumEnvVariable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Machin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</cacheFields>
</pivotCacheDefinition>
</file>

<file path=xl/pivotCache/pivotCacheDefinition20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12.Errors" name="t_Errors"/>
  </cacheSource>
  <cacheFields count="21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ErrorName" numFmtId="0">
      <sharedItems containsBlank="1"/>
    </cacheField>
    <cacheField name="ErrorType" numFmtId="0">
      <sharedItems containsBlank="1"/>
    </cacheField>
    <cacheField name="HttpCode" numFmtId="0">
      <sharedItems containsBlank="1"/>
    </cacheField>
    <cacheField name="ErrorDepth" numFmtId="0">
      <sharedItems containsBlank="1"/>
    </cacheField>
    <cacheField name="ErrorLevel1" numFmtId="0">
      <sharedItems containsBlank="1"/>
    </cacheField>
    <cacheField name="ErrorLevel2" numFmtId="0">
      <sharedItems containsBlank="1"/>
    </cacheField>
    <cacheField name="ErrorLevel3" numFmtId="0">
      <sharedItems containsBlank="1"/>
    </cacheField>
    <cacheField name="ErrorLevel4" numFmtId="0">
      <sharedItems containsBlank="1"/>
    </cacheField>
    <cacheField name="ErrorLevel5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Error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ErrorLink" numFmtId="0">
      <sharedItems containsBlank="1"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Nodes" name="t_Nodes"/>
  </cacheSource>
  <cacheFields count="64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gentVersion" numFmtId="0">
      <sharedItems containsBlank="1"/>
    </cacheField>
    <cacheField name="AgentVersionRaw" numFmtId="0">
      <sharedItems containsBlank="1"/>
    </cacheField>
    <cacheField name="AgentPresent" numFmtId="0">
      <sharedItems containsBlank="1"/>
    </cacheField>
    <cacheField name="MachineName" numFmtId="0">
      <sharedItems containsBlank="1"/>
    </cacheField>
    <cacheField name="MachineAgentVersion" numFmtId="0">
      <sharedItems containsBlank="1"/>
    </cacheField>
    <cacheField name="MachineAgentVersionRaw" numFmtId="0">
      <sharedItems containsBlank="1"/>
    </cacheField>
    <cacheField name="MachineAgentPresent" numFmtId="0">
      <sharedItems containsBlank="1"/>
    </cacheField>
    <cacheField name="MachineOSType" numFmtId="0">
      <sharedItems containsBlank="1"/>
    </cacheField>
    <cacheField name="MachineType" numFmtId="0">
      <sharedItems containsBlank="1"/>
    </cacheField>
    <cacheField name="AgentRuntime" numFmtId="0">
      <sharedItems containsBlank="1"/>
    </cacheField>
    <cacheField name="InstallDirectory" numFmtId="0">
      <sharedItems containsBlank="1"/>
    </cacheField>
    <cacheField name="InstallTime" numFmtId="0">
      <sharedItems containsBlank="1"/>
    </cacheField>
    <cacheField name="LastStartTime" numFmtId="0">
      <sharedItems containsBlank="1"/>
    </cacheField>
    <cacheField name="IsDisabled" numFmtId="0">
      <sharedItems containsBlank="1"/>
    </cacheField>
    <cacheField name="IsMonitoringDisabled" numFmtId="0">
      <sharedItems containsBlank="1"/>
    </cacheField>
    <cacheField name="WebHostContainerType" numFmtId="0">
      <sharedItems containsBlank="1"/>
    </cacheField>
    <cacheField name="CloudHostType" numFmtId="0">
      <sharedItems containsBlank="1"/>
    </cacheField>
    <cacheField name="CloudRegion" numFmtId="0">
      <sharedItems containsBlank="1"/>
    </cacheField>
    <cacheField name="ContainerRuntimeType" numFmtId="0">
      <sharedItems containsBlank="1"/>
    </cacheField>
    <cacheField name="HeapInitialSizeMB" numFmtId="0">
      <sharedItems containsBlank="1"/>
    </cacheField>
    <cacheField name="HeapMaxSizeMB" numFmtId="0">
      <sharedItems containsBlank="1"/>
    </cacheField>
    <cacheField name="HeapYoungInitialSizeMB" numFmtId="0">
      <sharedItems containsBlank="1"/>
    </cacheField>
    <cacheField name="HeapYoungMaxSizeMB" numFmtId="0">
      <sharedItems containsBlank="1"/>
    </cacheField>
    <cacheField name="ClassPath" numFmtId="0">
      <sharedItems containsBlank="1"/>
    </cacheField>
    <cacheField name="ClassVersion" numFmtId="0">
      <sharedItems containsBlank="1"/>
    </cacheField>
    <cacheField name="Home" numFmtId="0">
      <sharedItems containsBlank="1"/>
    </cacheField>
    <cacheField name="RuntimeName" numFmtId="0">
      <sharedItems containsBlank="1"/>
    </cacheField>
    <cacheField name="RuntimeVersion" numFmtId="0">
      <sharedItems containsBlank="1"/>
    </cacheField>
    <cacheField name="Vendor" numFmtId="0">
      <sharedItems containsBlank="1"/>
    </cacheField>
    <cacheField name="VendorVersion" numFmtId="0">
      <sharedItems containsBlank="1"/>
    </cacheField>
    <cacheField name="Version" numFmtId="0">
      <sharedItems containsBlank="1"/>
    </cacheField>
    <cacheField name="VMInfo" numFmtId="0">
      <sharedItems containsBlank="1"/>
    </cacheField>
    <cacheField name="VMName" numFmtId="0">
      <sharedItems containsBlank="1"/>
    </cacheField>
    <cacheField name="VMVendor" numFmtId="0">
      <sharedItems containsBlank="1"/>
    </cacheField>
    <cacheField name="VMVersion" numFmtId="0">
      <sharedItems containsBlank="1"/>
    </cacheField>
    <cacheField name="OSArchitecture" numFmtId="0">
      <sharedItems containsBlank="1"/>
    </cacheField>
    <cacheField name="OSName" numFmtId="0">
      <sharedItems containsBlank="1"/>
    </cacheField>
    <cacheField name="OSVersion" numFmtId="0">
      <sharedItems containsBlank="1"/>
    </cacheField>
    <cacheField name="OSComputerName" numFmtId="0">
      <sharedItems containsBlank="1"/>
    </cacheField>
    <cacheField name="OSProcessorType" numFmtId="0">
      <sharedItems containsBlank="1"/>
    </cacheField>
    <cacheField name="OSProcessorRevision" numFmtId="0">
      <sharedItems containsBlank="1"/>
    </cacheField>
    <cacheField name="OSNumberOfProcs" numFmtId="0">
      <sharedItems containsBlank="1"/>
    </cacheField>
    <cacheField name="UserName" numFmtId="0">
      <sharedItems containsBlank="1"/>
    </cacheField>
    <cacheField name="Domain" numFmtId="0">
      <sharedItems containsBlank="1"/>
    </cacheField>
    <cacheField name="NumStartupOptions" numFmtId="0">
      <sharedItems containsBlank="1"/>
    </cacheField>
    <cacheField name="NumProperties" numFmtId="0">
      <sharedItems containsBlank="1"/>
    </cacheField>
    <cacheField name="NumEnvVariable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Machin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Nodes" name="t_Nodes"/>
  </cacheSource>
  <cacheFields count="64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gentVersion" numFmtId="0">
      <sharedItems containsBlank="1"/>
    </cacheField>
    <cacheField name="AgentVersionRaw" numFmtId="0">
      <sharedItems containsBlank="1"/>
    </cacheField>
    <cacheField name="AgentPresent" numFmtId="0">
      <sharedItems containsBlank="1"/>
    </cacheField>
    <cacheField name="MachineName" numFmtId="0">
      <sharedItems containsBlank="1"/>
    </cacheField>
    <cacheField name="MachineAgentVersion" numFmtId="0">
      <sharedItems containsBlank="1"/>
    </cacheField>
    <cacheField name="MachineAgentVersionRaw" numFmtId="0">
      <sharedItems containsBlank="1"/>
    </cacheField>
    <cacheField name="MachineAgentPresent" numFmtId="0">
      <sharedItems containsBlank="1"/>
    </cacheField>
    <cacheField name="MachineOSType" numFmtId="0">
      <sharedItems containsBlank="1"/>
    </cacheField>
    <cacheField name="MachineType" numFmtId="0">
      <sharedItems containsBlank="1"/>
    </cacheField>
    <cacheField name="AgentRuntime" numFmtId="0">
      <sharedItems containsBlank="1"/>
    </cacheField>
    <cacheField name="InstallDirectory" numFmtId="0">
      <sharedItems containsBlank="1"/>
    </cacheField>
    <cacheField name="InstallTime" numFmtId="0">
      <sharedItems containsBlank="1"/>
    </cacheField>
    <cacheField name="LastStartTime" numFmtId="0">
      <sharedItems containsBlank="1"/>
    </cacheField>
    <cacheField name="IsDisabled" numFmtId="0">
      <sharedItems containsBlank="1"/>
    </cacheField>
    <cacheField name="IsMonitoringDisabled" numFmtId="0">
      <sharedItems containsBlank="1"/>
    </cacheField>
    <cacheField name="WebHostContainerType" numFmtId="0">
      <sharedItems containsBlank="1"/>
    </cacheField>
    <cacheField name="CloudHostType" numFmtId="0">
      <sharedItems containsBlank="1"/>
    </cacheField>
    <cacheField name="CloudRegion" numFmtId="0">
      <sharedItems containsBlank="1"/>
    </cacheField>
    <cacheField name="ContainerRuntimeType" numFmtId="0">
      <sharedItems containsBlank="1"/>
    </cacheField>
    <cacheField name="HeapInitialSizeMB" numFmtId="0">
      <sharedItems containsBlank="1"/>
    </cacheField>
    <cacheField name="HeapMaxSizeMB" numFmtId="0">
      <sharedItems containsBlank="1"/>
    </cacheField>
    <cacheField name="HeapYoungInitialSizeMB" numFmtId="0">
      <sharedItems containsBlank="1"/>
    </cacheField>
    <cacheField name="HeapYoungMaxSizeMB" numFmtId="0">
      <sharedItems containsBlank="1"/>
    </cacheField>
    <cacheField name="ClassPath" numFmtId="0">
      <sharedItems containsBlank="1"/>
    </cacheField>
    <cacheField name="ClassVersion" numFmtId="0">
      <sharedItems containsBlank="1"/>
    </cacheField>
    <cacheField name="Home" numFmtId="0">
      <sharedItems containsBlank="1"/>
    </cacheField>
    <cacheField name="RuntimeName" numFmtId="0">
      <sharedItems containsBlank="1"/>
    </cacheField>
    <cacheField name="RuntimeVersion" numFmtId="0">
      <sharedItems containsBlank="1"/>
    </cacheField>
    <cacheField name="Vendor" numFmtId="0">
      <sharedItems containsBlank="1"/>
    </cacheField>
    <cacheField name="VendorVersion" numFmtId="0">
      <sharedItems containsBlank="1"/>
    </cacheField>
    <cacheField name="Version" numFmtId="0">
      <sharedItems containsBlank="1"/>
    </cacheField>
    <cacheField name="VMInfo" numFmtId="0">
      <sharedItems containsBlank="1"/>
    </cacheField>
    <cacheField name="VMName" numFmtId="0">
      <sharedItems containsBlank="1"/>
    </cacheField>
    <cacheField name="VMVendor" numFmtId="0">
      <sharedItems containsBlank="1"/>
    </cacheField>
    <cacheField name="VMVersion" numFmtId="0">
      <sharedItems containsBlank="1"/>
    </cacheField>
    <cacheField name="OSArchitecture" numFmtId="0">
      <sharedItems containsBlank="1"/>
    </cacheField>
    <cacheField name="OSName" numFmtId="0">
      <sharedItems containsBlank="1"/>
    </cacheField>
    <cacheField name="OSVersion" numFmtId="0">
      <sharedItems containsBlank="1"/>
    </cacheField>
    <cacheField name="OSComputerName" numFmtId="0">
      <sharedItems containsBlank="1"/>
    </cacheField>
    <cacheField name="OSProcessorType" numFmtId="0">
      <sharedItems containsBlank="1"/>
    </cacheField>
    <cacheField name="OSProcessorRevision" numFmtId="0">
      <sharedItems containsBlank="1"/>
    </cacheField>
    <cacheField name="OSNumberOfProcs" numFmtId="0">
      <sharedItems containsBlank="1"/>
    </cacheField>
    <cacheField name="UserName" numFmtId="0">
      <sharedItems containsBlank="1"/>
    </cacheField>
    <cacheField name="Domain" numFmtId="0">
      <sharedItems containsBlank="1"/>
    </cacheField>
    <cacheField name="NumStartupOptions" numFmtId="0">
      <sharedItems containsBlank="1"/>
    </cacheField>
    <cacheField name="NumProperties" numFmtId="0">
      <sharedItems containsBlank="1"/>
    </cacheField>
    <cacheField name="NumEnvVariable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Machin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</cacheFields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Nodes" name="t_Nodes"/>
  </cacheSource>
  <cacheFields count="64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gentVersion" numFmtId="0">
      <sharedItems containsBlank="1"/>
    </cacheField>
    <cacheField name="AgentVersionRaw" numFmtId="0">
      <sharedItems containsBlank="1"/>
    </cacheField>
    <cacheField name="AgentPresent" numFmtId="0">
      <sharedItems containsBlank="1"/>
    </cacheField>
    <cacheField name="MachineName" numFmtId="0">
      <sharedItems containsBlank="1"/>
    </cacheField>
    <cacheField name="MachineAgentVersion" numFmtId="0">
      <sharedItems containsBlank="1"/>
    </cacheField>
    <cacheField name="MachineAgentVersionRaw" numFmtId="0">
      <sharedItems containsBlank="1"/>
    </cacheField>
    <cacheField name="MachineAgentPresent" numFmtId="0">
      <sharedItems containsBlank="1"/>
    </cacheField>
    <cacheField name="MachineOSType" numFmtId="0">
      <sharedItems containsBlank="1"/>
    </cacheField>
    <cacheField name="MachineType" numFmtId="0">
      <sharedItems containsBlank="1"/>
    </cacheField>
    <cacheField name="AgentRuntime" numFmtId="0">
      <sharedItems containsBlank="1"/>
    </cacheField>
    <cacheField name="InstallDirectory" numFmtId="0">
      <sharedItems containsBlank="1"/>
    </cacheField>
    <cacheField name="InstallTime" numFmtId="0">
      <sharedItems containsBlank="1"/>
    </cacheField>
    <cacheField name="LastStartTime" numFmtId="0">
      <sharedItems containsBlank="1"/>
    </cacheField>
    <cacheField name="IsDisabled" numFmtId="0">
      <sharedItems containsBlank="1"/>
    </cacheField>
    <cacheField name="IsMonitoringDisabled" numFmtId="0">
      <sharedItems containsBlank="1"/>
    </cacheField>
    <cacheField name="WebHostContainerType" numFmtId="0">
      <sharedItems containsBlank="1"/>
    </cacheField>
    <cacheField name="CloudHostType" numFmtId="0">
      <sharedItems containsBlank="1"/>
    </cacheField>
    <cacheField name="CloudRegion" numFmtId="0">
      <sharedItems containsBlank="1"/>
    </cacheField>
    <cacheField name="ContainerRuntimeType" numFmtId="0">
      <sharedItems containsBlank="1"/>
    </cacheField>
    <cacheField name="HeapInitialSizeMB" numFmtId="0">
      <sharedItems containsBlank="1"/>
    </cacheField>
    <cacheField name="HeapMaxSizeMB" numFmtId="0">
      <sharedItems containsBlank="1"/>
    </cacheField>
    <cacheField name="HeapYoungInitialSizeMB" numFmtId="0">
      <sharedItems containsBlank="1"/>
    </cacheField>
    <cacheField name="HeapYoungMaxSizeMB" numFmtId="0">
      <sharedItems containsBlank="1"/>
    </cacheField>
    <cacheField name="ClassPath" numFmtId="0">
      <sharedItems containsBlank="1"/>
    </cacheField>
    <cacheField name="ClassVersion" numFmtId="0">
      <sharedItems containsBlank="1"/>
    </cacheField>
    <cacheField name="Home" numFmtId="0">
      <sharedItems containsBlank="1"/>
    </cacheField>
    <cacheField name="RuntimeName" numFmtId="0">
      <sharedItems containsBlank="1"/>
    </cacheField>
    <cacheField name="RuntimeVersion" numFmtId="0">
      <sharedItems containsBlank="1"/>
    </cacheField>
    <cacheField name="Vendor" numFmtId="0">
      <sharedItems containsBlank="1"/>
    </cacheField>
    <cacheField name="VendorVersion" numFmtId="0">
      <sharedItems containsBlank="1"/>
    </cacheField>
    <cacheField name="Version" numFmtId="0">
      <sharedItems containsBlank="1"/>
    </cacheField>
    <cacheField name="VMInfo" numFmtId="0">
      <sharedItems containsBlank="1"/>
    </cacheField>
    <cacheField name="VMName" numFmtId="0">
      <sharedItems containsBlank="1"/>
    </cacheField>
    <cacheField name="VMVendor" numFmtId="0">
      <sharedItems containsBlank="1"/>
    </cacheField>
    <cacheField name="VMVersion" numFmtId="0">
      <sharedItems containsBlank="1"/>
    </cacheField>
    <cacheField name="OSArchitecture" numFmtId="0">
      <sharedItems containsBlank="1"/>
    </cacheField>
    <cacheField name="OSName" numFmtId="0">
      <sharedItems containsBlank="1"/>
    </cacheField>
    <cacheField name="OSVersion" numFmtId="0">
      <sharedItems containsBlank="1"/>
    </cacheField>
    <cacheField name="OSComputerName" numFmtId="0">
      <sharedItems containsBlank="1"/>
    </cacheField>
    <cacheField name="OSProcessorType" numFmtId="0">
      <sharedItems containsBlank="1"/>
    </cacheField>
    <cacheField name="OSProcessorRevision" numFmtId="0">
      <sharedItems containsBlank="1"/>
    </cacheField>
    <cacheField name="OSNumberOfProcs" numFmtId="0">
      <sharedItems containsBlank="1"/>
    </cacheField>
    <cacheField name="UserName" numFmtId="0">
      <sharedItems containsBlank="1"/>
    </cacheField>
    <cacheField name="Domain" numFmtId="0">
      <sharedItems containsBlank="1"/>
    </cacheField>
    <cacheField name="NumStartupOptions" numFmtId="0">
      <sharedItems containsBlank="1"/>
    </cacheField>
    <cacheField name="NumProperties" numFmtId="0">
      <sharedItems containsBlank="1"/>
    </cacheField>
    <cacheField name="NumEnvVariable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Machin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</cacheFields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Nodes" name="t_Nodes"/>
  </cacheSource>
  <cacheFields count="64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gentVersion" numFmtId="0">
      <sharedItems containsBlank="1"/>
    </cacheField>
    <cacheField name="AgentVersionRaw" numFmtId="0">
      <sharedItems containsBlank="1"/>
    </cacheField>
    <cacheField name="AgentPresent" numFmtId="0">
      <sharedItems containsBlank="1"/>
    </cacheField>
    <cacheField name="MachineName" numFmtId="0">
      <sharedItems containsBlank="1"/>
    </cacheField>
    <cacheField name="MachineAgentVersion" numFmtId="0">
      <sharedItems containsBlank="1"/>
    </cacheField>
    <cacheField name="MachineAgentVersionRaw" numFmtId="0">
      <sharedItems containsBlank="1"/>
    </cacheField>
    <cacheField name="MachineAgentPresent" numFmtId="0">
      <sharedItems containsBlank="1"/>
    </cacheField>
    <cacheField name="MachineOSType" numFmtId="0">
      <sharedItems containsBlank="1"/>
    </cacheField>
    <cacheField name="MachineType" numFmtId="0">
      <sharedItems containsBlank="1"/>
    </cacheField>
    <cacheField name="AgentRuntime" numFmtId="0">
      <sharedItems containsBlank="1"/>
    </cacheField>
    <cacheField name="InstallDirectory" numFmtId="0">
      <sharedItems containsBlank="1"/>
    </cacheField>
    <cacheField name="InstallTime" numFmtId="0">
      <sharedItems containsBlank="1"/>
    </cacheField>
    <cacheField name="LastStartTime" numFmtId="0">
      <sharedItems containsBlank="1"/>
    </cacheField>
    <cacheField name="IsDisabled" numFmtId="0">
      <sharedItems containsBlank="1"/>
    </cacheField>
    <cacheField name="IsMonitoringDisabled" numFmtId="0">
      <sharedItems containsBlank="1"/>
    </cacheField>
    <cacheField name="WebHostContainerType" numFmtId="0">
      <sharedItems containsBlank="1"/>
    </cacheField>
    <cacheField name="CloudHostType" numFmtId="0">
      <sharedItems containsBlank="1"/>
    </cacheField>
    <cacheField name="CloudRegion" numFmtId="0">
      <sharedItems containsBlank="1"/>
    </cacheField>
    <cacheField name="ContainerRuntimeType" numFmtId="0">
      <sharedItems containsBlank="1"/>
    </cacheField>
    <cacheField name="HeapInitialSizeMB" numFmtId="0">
      <sharedItems containsBlank="1"/>
    </cacheField>
    <cacheField name="HeapMaxSizeMB" numFmtId="0">
      <sharedItems containsBlank="1"/>
    </cacheField>
    <cacheField name="HeapYoungInitialSizeMB" numFmtId="0">
      <sharedItems containsBlank="1"/>
    </cacheField>
    <cacheField name="HeapYoungMaxSizeMB" numFmtId="0">
      <sharedItems containsBlank="1"/>
    </cacheField>
    <cacheField name="ClassPath" numFmtId="0">
      <sharedItems containsBlank="1"/>
    </cacheField>
    <cacheField name="ClassVersion" numFmtId="0">
      <sharedItems containsBlank="1"/>
    </cacheField>
    <cacheField name="Home" numFmtId="0">
      <sharedItems containsBlank="1"/>
    </cacheField>
    <cacheField name="RuntimeName" numFmtId="0">
      <sharedItems containsBlank="1"/>
    </cacheField>
    <cacheField name="RuntimeVersion" numFmtId="0">
      <sharedItems containsBlank="1"/>
    </cacheField>
    <cacheField name="Vendor" numFmtId="0">
      <sharedItems containsBlank="1"/>
    </cacheField>
    <cacheField name="VendorVersion" numFmtId="0">
      <sharedItems containsBlank="1"/>
    </cacheField>
    <cacheField name="Version" numFmtId="0">
      <sharedItems containsBlank="1"/>
    </cacheField>
    <cacheField name="VMInfo" numFmtId="0">
      <sharedItems containsBlank="1"/>
    </cacheField>
    <cacheField name="VMName" numFmtId="0">
      <sharedItems containsBlank="1"/>
    </cacheField>
    <cacheField name="VMVendor" numFmtId="0">
      <sharedItems containsBlank="1"/>
    </cacheField>
    <cacheField name="VMVersion" numFmtId="0">
      <sharedItems containsBlank="1"/>
    </cacheField>
    <cacheField name="OSArchitecture" numFmtId="0">
      <sharedItems containsBlank="1"/>
    </cacheField>
    <cacheField name="OSName" numFmtId="0">
      <sharedItems containsBlank="1"/>
    </cacheField>
    <cacheField name="OSVersion" numFmtId="0">
      <sharedItems containsBlank="1"/>
    </cacheField>
    <cacheField name="OSComputerName" numFmtId="0">
      <sharedItems containsBlank="1"/>
    </cacheField>
    <cacheField name="OSProcessorType" numFmtId="0">
      <sharedItems containsBlank="1"/>
    </cacheField>
    <cacheField name="OSProcessorRevision" numFmtId="0">
      <sharedItems containsBlank="1"/>
    </cacheField>
    <cacheField name="OSNumberOfProcs" numFmtId="0">
      <sharedItems containsBlank="1"/>
    </cacheField>
    <cacheField name="UserName" numFmtId="0">
      <sharedItems containsBlank="1"/>
    </cacheField>
    <cacheField name="Domain" numFmtId="0">
      <sharedItems containsBlank="1"/>
    </cacheField>
    <cacheField name="NumStartupOptions" numFmtId="0">
      <sharedItems containsBlank="1"/>
    </cacheField>
    <cacheField name="NumProperties" numFmtId="0">
      <sharedItems containsBlank="1"/>
    </cacheField>
    <cacheField name="NumEnvVariables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Machin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</cacheFields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Startup Options" name="t_NodeStartupOption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Startup Options" name="t_NodeStartupOption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Node VM Properties" name="t_NodeProperties"/>
  </cacheSource>
  <cacheFields count="10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PropName" numFmtId="0">
      <sharedItems containsBlank="1"/>
    </cacheField>
    <cacheField name="PropValue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Cache/pivotCacheRecords10.xml><?xml version="1.0" encoding="utf-8"?>
<pivotCacheRecords xmlns="http://schemas.openxmlformats.org/spreadsheetml/2006/main" xmlns:r="http://schemas.openxmlformats.org/officeDocument/2006/relationships" count="0"/>
</file>

<file path=xl/pivotCache/pivotCacheRecords11.xml><?xml version="1.0" encoding="utf-8"?>
<pivotCacheRecords xmlns="http://schemas.openxmlformats.org/spreadsheetml/2006/main" xmlns:r="http://schemas.openxmlformats.org/officeDocument/2006/relationships" count="0"/>
</file>

<file path=xl/pivotCache/pivotCacheRecords12.xml><?xml version="1.0" encoding="utf-8"?>
<pivotCacheRecords xmlns="http://schemas.openxmlformats.org/spreadsheetml/2006/main" xmlns:r="http://schemas.openxmlformats.org/officeDocument/2006/relationships" count="0"/>
</file>

<file path=xl/pivotCache/pivotCacheRecords13.xml><?xml version="1.0" encoding="utf-8"?>
<pivotCacheRecords xmlns="http://schemas.openxmlformats.org/spreadsheetml/2006/main" xmlns:r="http://schemas.openxmlformats.org/officeDocument/2006/relationships" count="0"/>
</file>

<file path=xl/pivotCache/pivotCacheRecords14.xml><?xml version="1.0" encoding="utf-8"?>
<pivotCacheRecords xmlns="http://schemas.openxmlformats.org/spreadsheetml/2006/main" xmlns:r="http://schemas.openxmlformats.org/officeDocument/2006/relationships" count="0"/>
</file>

<file path=xl/pivotCache/pivotCacheRecords15.xml><?xml version="1.0" encoding="utf-8"?>
<pivotCacheRecords xmlns="http://schemas.openxmlformats.org/spreadsheetml/2006/main" xmlns:r="http://schemas.openxmlformats.org/officeDocument/2006/relationships" count="0"/>
</file>

<file path=xl/pivotCache/pivotCacheRecords16.xml><?xml version="1.0" encoding="utf-8"?>
<pivotCacheRecords xmlns="http://schemas.openxmlformats.org/spreadsheetml/2006/main" xmlns:r="http://schemas.openxmlformats.org/officeDocument/2006/relationships" count="0"/>
</file>

<file path=xl/pivotCache/pivotCacheRecords17.xml><?xml version="1.0" encoding="utf-8"?>
<pivotCacheRecords xmlns="http://schemas.openxmlformats.org/spreadsheetml/2006/main" xmlns:r="http://schemas.openxmlformats.org/officeDocument/2006/relationships" count="0"/>
</file>

<file path=xl/pivotCache/pivotCacheRecords18.xml><?xml version="1.0" encoding="utf-8"?>
<pivotCacheRecords xmlns="http://schemas.openxmlformats.org/spreadsheetml/2006/main" xmlns:r="http://schemas.openxmlformats.org/officeDocument/2006/relationships" count="0"/>
</file>

<file path=xl/pivotCache/pivotCacheRecords19.xml><?xml version="1.0" encoding="utf-8"?>
<pivotCacheRecords xmlns="http://schemas.openxmlformats.org/spreadsheetml/2006/main" xmlns:r="http://schemas.openxmlformats.org/officeDocument/2006/relationships" count="0"/>
</file>

<file path=xl/pivotCache/pivotCacheRecords2.xml><?xml version="1.0" encoding="utf-8"?>
<pivotCacheRecords xmlns="http://schemas.openxmlformats.org/spreadsheetml/2006/main" xmlns:r="http://schemas.openxmlformats.org/officeDocument/2006/relationships" count="0"/>
</file>

<file path=xl/pivotCache/pivotCacheRecords20.xml><?xml version="1.0" encoding="utf-8"?>
<pivotCacheRecords xmlns="http://schemas.openxmlformats.org/spreadsheetml/2006/main" xmlns:r="http://schemas.openxmlformats.org/officeDocument/2006/relationships" count="0"/>
</file>

<file path=xl/pivotCache/pivotCacheRecords3.xml><?xml version="1.0" encoding="utf-8"?>
<pivotCacheRecords xmlns="http://schemas.openxmlformats.org/spreadsheetml/2006/main" xmlns:r="http://schemas.openxmlformats.org/officeDocument/2006/relationships" count="0"/>
</file>

<file path=xl/pivotCache/pivotCacheRecords4.xml><?xml version="1.0" encoding="utf-8"?>
<pivotCacheRecords xmlns="http://schemas.openxmlformats.org/spreadsheetml/2006/main" xmlns:r="http://schemas.openxmlformats.org/officeDocument/2006/relationships" count="0"/>
</file>

<file path=xl/pivotCache/pivotCacheRecords5.xml><?xml version="1.0" encoding="utf-8"?>
<pivotCacheRecords xmlns="http://schemas.openxmlformats.org/spreadsheetml/2006/main" xmlns:r="http://schemas.openxmlformats.org/officeDocument/2006/relationships" count="0"/>
</file>

<file path=xl/pivotCache/pivotCacheRecords6.xml><?xml version="1.0" encoding="utf-8"?>
<pivotCacheRecords xmlns="http://schemas.openxmlformats.org/spreadsheetml/2006/main" xmlns:r="http://schemas.openxmlformats.org/officeDocument/2006/relationships" count="0"/>
</file>

<file path=xl/pivotCache/pivotCacheRecords7.xml><?xml version="1.0" encoding="utf-8"?>
<pivotCacheRecords xmlns="http://schemas.openxmlformats.org/spreadsheetml/2006/main" xmlns:r="http://schemas.openxmlformats.org/officeDocument/2006/relationships" count="0"/>
</file>

<file path=xl/pivotCache/pivotCacheRecords8.xml><?xml version="1.0" encoding="utf-8"?>
<pivotCacheRecords xmlns="http://schemas.openxmlformats.org/spreadsheetml/2006/main" xmlns:r="http://schemas.openxmlformats.org/officeDocument/2006/relationships" count="0"/>
</file>

<file path=xl/pivotCache/pivotCacheRecords9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.xml"/></Relationships>
</file>

<file path=xl/pivotTables/_rels/pivotTable10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0.xml"/></Relationships>
</file>

<file path=xl/pivotTables/_rels/pivotTable11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1.xml"/></Relationships>
</file>

<file path=xl/pivotTables/_rels/pivotTable12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2.xml"/></Relationships>
</file>

<file path=xl/pivotTables/_rels/pivotTable13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3.xml"/></Relationships>
</file>

<file path=xl/pivotTables/_rels/pivotTable14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4.xml"/></Relationships>
</file>

<file path=xl/pivotTables/_rels/pivotTable15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5.xml"/></Relationships>
</file>

<file path=xl/pivotTables/_rels/pivotTable16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6.xml"/></Relationships>
</file>

<file path=xl/pivotTables/_rels/pivotTable17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7.xml"/></Relationships>
</file>

<file path=xl/pivotTables/_rels/pivotTable18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8.xml"/></Relationships>
</file>

<file path=xl/pivotTables/_rels/pivotTable19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9.xml"/></Relationships>
</file>

<file path=xl/pivotTables/_rels/pivotTable2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2.xml"/></Relationships>
</file>

<file path=xl/pivotTables/_rels/pivotTable20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20.xml"/></Relationships>
</file>

<file path=xl/pivotTables/_rels/pivotTable3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3.xml"/></Relationships>
</file>

<file path=xl/pivotTables/_rels/pivotTable4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4.xml"/></Relationships>
</file>

<file path=xl/pivotTables/_rels/pivotTable5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5.xml"/></Relationships>
</file>

<file path=xl/pivotTables/_rels/pivotTable6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6.xml"/></Relationships>
</file>

<file path=xl/pivotTables/_rels/pivotTable7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7.xml"/></Relationships>
</file>

<file path=xl/pivotTables/_rels/pivotTable8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8.xml"/></Relationships>
</file>

<file path=xl/pivotTables/_rels/pivotTable9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9.xml"/></Relationships>
</file>

<file path=xl/pivotTables/pivotTable1.xml><?xml version="1.0" encoding="utf-8"?>
<pivotTableDefinition xmlns="http://schemas.openxmlformats.org/spreadsheetml/2006/main" name="p_TiersType" cacheId="1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19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/>
    <pivotField showAll="0"/>
    <pivotField showAll="0" axis="axisCol" compact="0" outline="0" defaultSubtotal="0" sortType="ascending"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</rowFields>
  <colFields>
    <field x="5"/>
  </colFields>
  <dataFields>
    <dataField fld="2" subtotal="count" name="Count of TierName"/>
  </dataFields>
  <pivotTableStyleInfo name="PivotStyleMedium9" showRowHeaders="1" showColHeaders="1" showRowStripes="0" showColStripes="0" showLastColumn="1"/>
</pivotTableDefinition>
</file>

<file path=xl/pivotTables/pivotTable10.xml><?xml version="1.0" encoding="utf-8"?>
<pivotTableDefinition xmlns="http://schemas.openxmlformats.org/spreadsheetml/2006/main" name="p_NodePropertiesLocation" cacheId="10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5"/>
    <field x="6"/>
    <field x="0"/>
    <field x="1"/>
    <field x="2"/>
    <field x="3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11.xml><?xml version="1.0" encoding="utf-8"?>
<pivotTableDefinition xmlns="http://schemas.openxmlformats.org/spreadsheetml/2006/main" name="p_NodeEnvironmentVariablesType" cacheId="11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0"/>
    <field x="1"/>
    <field x="2"/>
    <field x="3"/>
    <field x="5"/>
    <field x="6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12.xml><?xml version="1.0" encoding="utf-8"?>
<pivotTableDefinition xmlns="http://schemas.openxmlformats.org/spreadsheetml/2006/main" name="p_NodeEnvironmentVariablesLocation" cacheId="12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5"/>
    <field x="6"/>
    <field x="0"/>
    <field x="1"/>
    <field x="2"/>
    <field x="3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13.xml><?xml version="1.0" encoding="utf-8"?>
<pivotTableDefinition xmlns="http://schemas.openxmlformats.org/spreadsheetml/2006/main" name="p_BackendsType" cacheId="13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31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</rowFields>
  <colFields>
    <field x="3"/>
  </colFields>
  <pageFields>
    <pageField fld="4" hier="-1"/>
  </pageFields>
  <dataFields>
    <dataField fld="2" subtotal="count" name="Count of BackendName"/>
  </dataFields>
  <pivotTableStyleInfo name="PivotStyleMedium9" showRowHeaders="1" showColHeaders="1" showRowStripes="0" showColStripes="0" showLastColumn="1"/>
</pivotTableDefinition>
</file>

<file path=xl/pivotTables/pivotTable14.xml><?xml version="1.0" encoding="utf-8"?>
<pivotTableDefinition xmlns="http://schemas.openxmlformats.org/spreadsheetml/2006/main" name="p_BackendsLocation" cacheId="14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31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Row" compact="0" outline="0" defaultSubtotal="0" sortType="ascending"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3"/>
    <field x="2"/>
    <field x="0"/>
    <field x="1"/>
  </rowFields>
  <pageFields>
    <pageField fld="4" hier="-1"/>
  </pageFields>
  <dataFields>
    <dataField fld="2" subtotal="count" name="Count of BackendName"/>
  </dataFields>
  <pivotTableStyleInfo name="PivotStyleMedium9" showRowHeaders="1" showColHeaders="1" showRowStripes="0" showColStripes="0" showLastColumn="1"/>
</pivotTableDefinition>
</file>

<file path=xl/pivotTables/pivotTable15.xml><?xml version="1.0" encoding="utf-8"?>
<pivotTableDefinition xmlns="http://schemas.openxmlformats.org/spreadsheetml/2006/main" name="p_BusinessTransactionsType" cacheId="15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2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/>
    <pivotField showAll="0" axis="axisPage">
      <items count="1">
        <item t="default"/>
      </items>
    </pivotField>
    <pivotField showAll="0" axis="axisCol" compact="0" outline="0" defaultSubtotal="0" sortType="ascending"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3"/>
  </rowFields>
  <colFields>
    <field x="6"/>
  </colFields>
  <pageFields>
    <pageField fld="7" hier="-1"/>
    <pageField fld="5" hier="-1"/>
  </pageFields>
  <dataFields>
    <dataField fld="3" subtotal="count" name="Count of BTName"/>
  </dataFields>
  <pivotTableStyleInfo name="PivotStyleMedium9" showRowHeaders="1" showColHeaders="1" showRowStripes="0" showColStripes="0" showLastColumn="1"/>
</pivotTableDefinition>
</file>

<file path=xl/pivotTables/pivotTable16.xml><?xml version="1.0" encoding="utf-8"?>
<pivotTableDefinition xmlns="http://schemas.openxmlformats.org/spreadsheetml/2006/main" name="p_BusinessTransactionsLocation" cacheId="16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2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/>
    <pivotField showAll="0" axis="axisPage">
      <items count="1">
        <item t="default"/>
      </items>
    </pivotField>
    <pivotField showAll="0" axis="axisRow" compact="0" outline="0" defaultSubtotal="0" sortType="ascending"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6"/>
    <field x="3"/>
    <field x="0"/>
    <field x="1"/>
    <field x="2"/>
  </rowFields>
  <pageFields>
    <pageField fld="5" hier="-1"/>
    <pageField fld="7" hier="-1"/>
  </pageFields>
  <dataFields>
    <dataField fld="3" subtotal="count" name="Count of BTName"/>
  </dataFields>
  <pivotTableStyleInfo name="PivotStyleMedium9" showRowHeaders="1" showColHeaders="1" showRowStripes="0" showColStripes="0" showLastColumn="1"/>
</pivotTableDefinition>
</file>

<file path=xl/pivotTables/pivotTable17.xml><?xml version="1.0" encoding="utf-8"?>
<pivotTableDefinition xmlns="http://schemas.openxmlformats.org/spreadsheetml/2006/main" name="p_ServiceEndpointsType" cacheId="17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16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3"/>
  </rowFields>
  <colFields>
    <field x="4"/>
  </colFields>
  <dataFields>
    <dataField fld="3" subtotal="count" name="Count of SEPName"/>
  </dataFields>
  <pivotTableStyleInfo name="PivotStyleMedium9" showRowHeaders="1" showColHeaders="1" showRowStripes="0" showColStripes="0" showLastColumn="1"/>
</pivotTableDefinition>
</file>

<file path=xl/pivotTables/pivotTable18.xml><?xml version="1.0" encoding="utf-8"?>
<pivotTableDefinition xmlns="http://schemas.openxmlformats.org/spreadsheetml/2006/main" name="p_ServiceEndpointsLocation" cacheId="18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6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Row" compact="0" outline="0" defaultSubtotal="0" sortType="ascending"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4"/>
    <field x="3"/>
    <field x="0"/>
    <field x="1"/>
    <field x="2"/>
  </rowFields>
  <dataFields>
    <dataField fld="3" subtotal="count" name="Count of SEPName"/>
  </dataFields>
  <pivotTableStyleInfo name="PivotStyleMedium9" showRowHeaders="1" showColHeaders="1" showRowStripes="0" showColStripes="0" showLastColumn="1"/>
</pivotTableDefinition>
</file>

<file path=xl/pivotTables/pivotTable19.xml><?xml version="1.0" encoding="utf-8"?>
<pivotTableDefinition xmlns="http://schemas.openxmlformats.org/spreadsheetml/2006/main" name="p_ErrorsType" cacheId="19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21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/>
    <pivotField showAll="0" axis="axisPage" sortType="ascending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3"/>
  </rowFields>
  <colFields>
    <field x="4"/>
  </colFields>
  <pageFields>
    <pageField fld="6" hier="-1"/>
  </pageFields>
  <dataFields>
    <dataField fld="3" subtotal="count" name="Count of ErrorName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_NodesTypeAppAgent" cacheId="2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64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Col" compact="0" outline="0" defaultSubtotal="0" sortType="ascending">
    </pivotField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3"/>
  </rowFields>
  <colFields>
    <field x="4"/>
    <field x="5"/>
  </colFields>
  <pageFields>
    <pageField fld="7" hier="-1"/>
  </page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20.xml><?xml version="1.0" encoding="utf-8"?>
<pivotTableDefinition xmlns="http://schemas.openxmlformats.org/spreadsheetml/2006/main" name="p_ErrorsLocation" cacheId="20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21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Row" compact="0" outline="0" defaultSubtotal="0" sortType="ascending">
    </pivotField>
    <pivotField showAll="0"/>
    <pivotField showAll="0" axis="axisPage" sortType="ascending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4"/>
    <field x="3"/>
    <field x="0"/>
    <field x="1"/>
    <field x="2"/>
  </rowFields>
  <pageFields>
    <pageField fld="6" hier="-1"/>
  </pageFields>
  <dataFields>
    <dataField fld="3" subtotal="count" name="Count of ErrorName"/>
  </dataFields>
  <pivotTableStyleInfo name="PivotStyleMedium9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_NodesTypeMachineAgent" cacheId="3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64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 axis="axisCol" compact="0" outline="0" defaultSubtotal="0" sortType="ascending">
    </pivotField>
    <pivotField showAll="0"/>
    <pivotField showAll="0"/>
    <pivotField showAll="0"/>
    <pivotField showAll="0" axis="axisRow" compact="0" outline="0" defaultSubtotal="0" dataField="1">
    </pivotField>
    <pivotField showAll="0" axis="axisCol" compact="0" outline="0" defaultSubtotal="0" sortType="ascending">
    </pivotField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8"/>
  </rowFields>
  <colFields>
    <field x="4"/>
    <field x="9"/>
  </colFields>
  <pageFields>
    <pageField fld="11" hier="-1"/>
  </pageFields>
  <dataFields>
    <dataField fld="8" subtotal="count" name="Count of MachineName"/>
  </dataFields>
  <pivotTableStyleInfo name="PivotStyleMedium9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_NodesTypeHost" cacheId="4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64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/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21"/>
    <field x="22"/>
    <field x="23"/>
    <field x="20"/>
    <field x="0"/>
    <field x="1"/>
    <field x="2"/>
    <field x="3"/>
  </rowFields>
  <colFields>
    <field x="4"/>
  </colFields>
  <pageFields>
    <pageField fld="7" hier="-1"/>
  </page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_NodesHeapSize" cacheId="5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2" firstHeaderRow="1" firstDataRow="1" firstDataCol="1"/>
  <pivotFields count="64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axis="axisPage" sortType="ascending" multipleItemSelectionAllowed="1" dataField="1">
      <items count="1">
        <item t="default"/>
      </items>
    </pivotField>
    <pivotField showAll="0" axis="axisPage" sortType="ascending" multipleItemSelectionAllowed="1" dataField="1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3"/>
  </rowFields>
  <colFields>
    <field x="-2"/>
  </colFields>
  <pageFields>
    <pageField fld="7" hier="-1"/>
    <pageField fld="24" hier="-1"/>
    <pageField fld="25" hier="-1"/>
  </pageFields>
  <dataFields>
    <dataField fld="24" subtotal="average" name="InitialMB"/>
    <dataField fld="25" subtotal="average" name="MaximumMB"/>
  </dataFields>
  <pivotTableStyleInfo name="PivotStyleMedium9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_NodesRuntimeVersion" cacheId="6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64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Page">
      <items count="1">
        <item t="default"/>
      </items>
    </pivotField>
    <pivotField showAll="0"/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axis="axisRow" compact="0" outline="0" defaultSubtotal="0">
    </pivotField>
    <pivotField showAll="0"/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37"/>
    <field x="38"/>
    <field x="35"/>
    <field x="0"/>
    <field x="1"/>
    <field x="2"/>
    <field x="3"/>
  </rowFields>
  <pageFields>
    <pageField fld="7" hier="-1"/>
    <pageField fld="4" hier="-1"/>
  </page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_NodeStartupOptionsType" cacheId="7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0"/>
    <field x="1"/>
    <field x="2"/>
    <field x="3"/>
    <field x="5"/>
    <field x="6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_NodeStartupOptionsLocation" cacheId="8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5"/>
    <field x="6"/>
    <field x="0"/>
    <field x="1"/>
    <field x="2"/>
    <field x="3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_NodePropertiesType" cacheId="9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7" firstHeaderRow="1" firstDataRow="1" firstDataCol="1"/>
  <pivotFields count="10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 dataField="1">
    </pivotField>
    <pivotField showAll="0" axis="axisCol" compact="0" outline="0" defaultSubtotal="0" sortType="ascending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/>
    <pivotField showAll="0"/>
  </pivotFields>
  <rowFields>
    <field x="0"/>
    <field x="1"/>
    <field x="2"/>
    <field x="3"/>
    <field x="5"/>
    <field x="6"/>
  </rowFields>
  <colFields>
    <field x="4"/>
  </colFields>
  <dataFields>
    <dataField fld="3" subtotal="count" name="Count of NodeName"/>
  </dataField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_Backends" displayName="t_Backends" ref="A4:AE10">
  <autoFilter ref="A4:AE10"/>
  <tableColumns count="31">
    <tableColumn id="1" name="Controller"/>
    <tableColumn id="2" name="ApplicationName"/>
    <tableColumn id="3" name="BackendName"/>
    <tableColumn id="4" name="BackendType"/>
    <tableColumn id="5" name="IsExplicitRule"/>
    <tableColumn id="6" name="RuleName"/>
    <tableColumn id="7" name="NumProps"/>
    <tableColumn id="8" name="Prop1Name"/>
    <tableColumn id="9" name="Prop1Value"/>
    <tableColumn id="10" name="Prop2Name"/>
    <tableColumn id="11" name="Prop2Value"/>
    <tableColumn id="12" name="Prop3Name"/>
    <tableColumn id="13" name="Prop3Value"/>
    <tableColumn id="14" name="Prop4Name"/>
    <tableColumn id="15" name="Prop4Value"/>
    <tableColumn id="16" name="Prop5Name"/>
    <tableColumn id="17" name="Prop5Value"/>
    <tableColumn id="18" name="Prop6Name"/>
    <tableColumn id="19" name="Prop6Value"/>
    <tableColumn id="20" name="Prop7Name"/>
    <tableColumn id="21" name="Prop7Value"/>
    <tableColumn id="22" name="DBMonCollectorName"/>
    <tableColumn id="23" name="DBMonCollectorType"/>
    <tableColumn id="24" name="ApplicationID"/>
    <tableColumn id="25" name="BackendID"/>
    <tableColumn id="26" name="DBMonCollectorConfigID"/>
    <tableColumn id="27" name="MetricGraphLink"/>
    <tableColumn id="28" name="DetailLink"/>
    <tableColumn id="29" name="ControllerLink"/>
    <tableColumn id="30" name="ApplicationLink"/>
    <tableColumn id="31" name="BackendLink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_BusinessTransactions" displayName="t_BusinessTransactions" ref="A4:T224">
  <autoFilter ref="A4:T224"/>
  <tableColumns count="20">
    <tableColumn id="1" name="Controller"/>
    <tableColumn id="2" name="ApplicationName"/>
    <tableColumn id="3" name="TierName"/>
    <tableColumn id="4" name="BTName"/>
    <tableColumn id="5" name="BTNameOriginal"/>
    <tableColumn id="6" name="IsRenamed"/>
    <tableColumn id="7" name="BTType"/>
    <tableColumn id="8" name="IsExplicitRule"/>
    <tableColumn id="9" name="RuleName"/>
    <tableColumn id="10" name="ApplicationID"/>
    <tableColumn id="11" name="TierID"/>
    <tableColumn id="12" name="BTID"/>
    <tableColumn id="13" name="DetailLink"/>
    <tableColumn id="14" name="MetricGraphLink"/>
    <tableColumn id="15" name="FlameGraphLink"/>
    <tableColumn id="16" name="FlameChartLink"/>
    <tableColumn id="17" name="ControllerLink"/>
    <tableColumn id="18" name="ApplicationLink"/>
    <tableColumn id="19" name="TierLink"/>
    <tableColumn id="20" name="BTLink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_ServiceEndpoints" displayName="t_ServiceEndpoints" ref="A4:P222">
  <autoFilter ref="A4:P222"/>
  <tableColumns count="16">
    <tableColumn id="1" name="Controller"/>
    <tableColumn id="2" name="ApplicationName"/>
    <tableColumn id="3" name="TierName"/>
    <tableColumn id="4" name="SEPName"/>
    <tableColumn id="5" name="SEPType"/>
    <tableColumn id="6" name="IsExplicitRule"/>
    <tableColumn id="7" name="RuleName"/>
    <tableColumn id="8" name="ApplicationID"/>
    <tableColumn id="9" name="TierID"/>
    <tableColumn id="10" name="SEPID"/>
    <tableColumn id="11" name="DetailLink"/>
    <tableColumn id="12" name="MetricGraphLink"/>
    <tableColumn id="13" name="ControllerLink"/>
    <tableColumn id="14" name="ApplicationLink"/>
    <tableColumn id="15" name="TierLink"/>
    <tableColumn id="16" name="SEPLink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_Errors" displayName="t_Errors" ref="A4:U252">
  <autoFilter ref="A4:U252"/>
  <tableColumns count="21">
    <tableColumn id="1" name="Controller"/>
    <tableColumn id="2" name="ApplicationName"/>
    <tableColumn id="3" name="TierName"/>
    <tableColumn id="4" name="ErrorName"/>
    <tableColumn id="5" name="ErrorType"/>
    <tableColumn id="6" name="HttpCode"/>
    <tableColumn id="7" name="ErrorDepth"/>
    <tableColumn id="8" name="ErrorLevel1"/>
    <tableColumn id="9" name="ErrorLevel2"/>
    <tableColumn id="10" name="ErrorLevel3"/>
    <tableColumn id="11" name="ErrorLevel4"/>
    <tableColumn id="12" name="ErrorLevel5"/>
    <tableColumn id="13" name="ApplicationID"/>
    <tableColumn id="14" name="TierID"/>
    <tableColumn id="15" name="ErrorID"/>
    <tableColumn id="16" name="DetailLink"/>
    <tableColumn id="17" name="MetricGraphLink"/>
    <tableColumn id="18" name="ControllerLink"/>
    <tableColumn id="19" name="ApplicationLink"/>
    <tableColumn id="20" name="TierLink"/>
    <tableColumn id="21" name="ErrorLink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_TOC" displayName="t_TOC" ref="A1:C41">
  <autoFilter ref="A1:C41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_All" displayName="t_Applications_All" ref="A4:M14">
  <autoFilter ref="A4:M14"/>
  <tableColumns count="13">
    <tableColumn id="1" name="Controller"/>
    <tableColumn id="2" name="ApplicationName"/>
    <tableColumn id="3" name="Description"/>
    <tableColumn id="4" name="Type"/>
    <tableColumn id="5" name="Types"/>
    <tableColumn id="6" name="CreatedBy"/>
    <tableColumn id="7" name="CreatedOn"/>
    <tableColumn id="8" name="CreatedOnUtc"/>
    <tableColumn id="9" name="UpdatedBy"/>
    <tableColumn id="10" name="UpdatedOn"/>
    <tableColumn id="11" name="UpdatedOnUtc"/>
    <tableColumn id="12" name="ApplicationID"/>
    <tableColumn id="13" name="ParentApplication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Applications_APM" displayName="t_Applications_APM" ref="A4:Q5">
  <autoFilter ref="A4:Q5"/>
  <tableColumns count="17">
    <tableColumn id="1" name="Controller"/>
    <tableColumn id="2" name="ApplicationName"/>
    <tableColumn id="3" name="Description"/>
    <tableColumn id="4" name="NumTiers"/>
    <tableColumn id="5" name="NumNodes"/>
    <tableColumn id="6" name="NumBackends"/>
    <tableColumn id="7" name="NumBTs"/>
    <tableColumn id="8" name="NumSEPs"/>
    <tableColumn id="9" name="NumErrors"/>
    <tableColumn id="10" name="NumIPs"/>
    <tableColumn id="11" name="ApplicationID"/>
    <tableColumn id="12" name="DetailLink"/>
    <tableColumn id="13" name="MetricGraphLink"/>
    <tableColumn id="14" name="FlameGraphLink"/>
    <tableColumn id="15" name="FlameChartLink"/>
    <tableColumn id="16" name="ControllerLink"/>
    <tableColumn id="17" name="ApplicationLink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_Tiers" displayName="t_Tiers" ref="A4:S25">
  <autoFilter ref="A4:S25"/>
  <tableColumns count="19">
    <tableColumn id="1" name="Controller"/>
    <tableColumn id="2" name="ApplicationName"/>
    <tableColumn id="3" name="TierName"/>
    <tableColumn id="4" name="TierType"/>
    <tableColumn id="5" name="Description"/>
    <tableColumn id="6" name="AgentType"/>
    <tableColumn id="7" name="NumNodes"/>
    <tableColumn id="8" name="NumBTs"/>
    <tableColumn id="9" name="NumSEPs"/>
    <tableColumn id="10" name="NumErrors"/>
    <tableColumn id="11" name="ApplicationID"/>
    <tableColumn id="12" name="TierID"/>
    <tableColumn id="13" name="DetailLink"/>
    <tableColumn id="14" name="MetricGraphLink"/>
    <tableColumn id="15" name="FlameGraphLink"/>
    <tableColumn id="16" name="FlameChartLink"/>
    <tableColumn id="17" name="ControllerLink"/>
    <tableColumn id="18" name="ApplicationLink"/>
    <tableColumn id="19" name="TierLink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_Nodes" displayName="t_Nodes" ref="A4:BL17">
  <autoFilter ref="A4:BL17"/>
  <tableColumns count="64">
    <tableColumn id="1" name="Controller"/>
    <tableColumn id="2" name="ApplicationName"/>
    <tableColumn id="3" name="TierName"/>
    <tableColumn id="4" name="NodeName"/>
    <tableColumn id="5" name="AgentType"/>
    <tableColumn id="6" name="AgentVersion"/>
    <tableColumn id="7" name="AgentVersionRaw"/>
    <tableColumn id="8" name="AgentPresent"/>
    <tableColumn id="9" name="MachineName"/>
    <tableColumn id="10" name="MachineAgentVersion"/>
    <tableColumn id="11" name="MachineAgentVersionRaw"/>
    <tableColumn id="12" name="MachineAgentPresent"/>
    <tableColumn id="13" name="MachineOSType"/>
    <tableColumn id="14" name="MachineType"/>
    <tableColumn id="15" name="AgentRuntime"/>
    <tableColumn id="16" name="InstallDirectory"/>
    <tableColumn id="17" name="InstallTime"/>
    <tableColumn id="18" name="LastStartTime"/>
    <tableColumn id="19" name="IsDisabled"/>
    <tableColumn id="20" name="IsMonitoringDisabled"/>
    <tableColumn id="21" name="WebHostContainerType"/>
    <tableColumn id="22" name="CloudHostType"/>
    <tableColumn id="23" name="CloudRegion"/>
    <tableColumn id="24" name="ContainerRuntimeType"/>
    <tableColumn id="25" name="HeapInitialSizeMB"/>
    <tableColumn id="26" name="HeapMaxSizeMB"/>
    <tableColumn id="27" name="HeapYoungInitialSizeMB"/>
    <tableColumn id="28" name="HeapYoungMaxSizeMB"/>
    <tableColumn id="29" name="ClassPath"/>
    <tableColumn id="30" name="ClassVersion"/>
    <tableColumn id="31" name="Home"/>
    <tableColumn id="32" name="RuntimeName"/>
    <tableColumn id="33" name="RuntimeVersion"/>
    <tableColumn id="34" name="Vendor"/>
    <tableColumn id="35" name="VendorVersion"/>
    <tableColumn id="36" name="Version"/>
    <tableColumn id="37" name="VMInfo"/>
    <tableColumn id="38" name="VMName"/>
    <tableColumn id="39" name="VMVendor"/>
    <tableColumn id="40" name="VMVersion"/>
    <tableColumn id="41" name="OSArchitecture"/>
    <tableColumn id="42" name="OSName"/>
    <tableColumn id="43" name="OSVersion"/>
    <tableColumn id="44" name="OSComputerName"/>
    <tableColumn id="45" name="OSProcessorType"/>
    <tableColumn id="46" name="OSProcessorRevision"/>
    <tableColumn id="47" name="OSNumberOfProcs"/>
    <tableColumn id="48" name="UserName"/>
    <tableColumn id="49" name="Domain"/>
    <tableColumn id="50" name="NumStartupOptions"/>
    <tableColumn id="51" name="NumProperties"/>
    <tableColumn id="52" name="NumEnvVariables"/>
    <tableColumn id="53" name="ApplicationID"/>
    <tableColumn id="54" name="TierID"/>
    <tableColumn id="55" name="NodeID"/>
    <tableColumn id="56" name="MachineID"/>
    <tableColumn id="57" name="DetailLink"/>
    <tableColumn id="58" name="MetricGraphLink"/>
    <tableColumn id="59" name="FlameGraphLink"/>
    <tableColumn id="60" name="FlameChartLink"/>
    <tableColumn id="61" name="ControllerLink"/>
    <tableColumn id="62" name="ApplicationLink"/>
    <tableColumn id="63" name="TierLink"/>
    <tableColumn id="64" name="NodeLink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_NodeStartupOptions" displayName="t_NodeStartupOptions" ref="A4:J224">
  <autoFilter ref="A4:J224"/>
  <tableColumns count="10">
    <tableColumn id="1" name="Controller"/>
    <tableColumn id="2" name="ApplicationName"/>
    <tableColumn id="3" name="TierName"/>
    <tableColumn id="4" name="NodeName"/>
    <tableColumn id="5" name="AgentType"/>
    <tableColumn id="6" name="PropName"/>
    <tableColumn id="7" name="PropValue"/>
    <tableColumn id="8" name="ApplicationID"/>
    <tableColumn id="9" name="TierID"/>
    <tableColumn id="10" name="NodeID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_NodeProperties" displayName="t_NodeProperties" ref="A4:J823">
  <autoFilter ref="A4:J823"/>
  <tableColumns count="10">
    <tableColumn id="1" name="Controller"/>
    <tableColumn id="2" name="ApplicationName"/>
    <tableColumn id="3" name="TierName"/>
    <tableColumn id="4" name="NodeName"/>
    <tableColumn id="5" name="AgentType"/>
    <tableColumn id="6" name="PropName"/>
    <tableColumn id="7" name="PropValue"/>
    <tableColumn id="8" name="ApplicationID"/>
    <tableColumn id="9" name="TierID"/>
    <tableColumn id="10" name="NodeID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_NodeEnvironmentVariables" displayName="t_NodeEnvironmentVariables" ref="A4:J771">
  <autoFilter ref="A4:J771"/>
  <tableColumns count="10">
    <tableColumn id="1" name="Controller"/>
    <tableColumn id="2" name="ApplicationName"/>
    <tableColumn id="3" name="TierName"/>
    <tableColumn id="4" name="NodeName"/>
    <tableColumn id="5" name="AgentType"/>
    <tableColumn id="6" name="PropName"/>
    <tableColumn id="7" name="PropValue"/>
    <tableColumn id="8" name="ApplicationID"/>
    <tableColumn id="9" name="TierID"/>
    <tableColumn id="10" name="NodeID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3.xml"/><Relationship Id="rId2" Type="http://schemas.openxmlformats.org/officeDocument/2006/relationships/drawing" Target="../drawings/drawing10.xm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4.xml"/><Relationship Id="rId2" Type="http://schemas.openxmlformats.org/officeDocument/2006/relationships/drawing" Target="../drawings/drawing11.xm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5.xml"/><Relationship Id="rId2" Type="http://schemas.openxmlformats.org/officeDocument/2006/relationships/drawing" Target="../drawings/drawing12.xm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6.xml"/><Relationship Id="rId2" Type="http://schemas.openxmlformats.org/officeDocument/2006/relationships/drawing" Target="../drawings/drawing13.xm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7.xm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8.xm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9.xm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0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1.xm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2.xm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3.xml"/><Relationship Id="rId2" Type="http://schemas.openxmlformats.org/officeDocument/2006/relationships/drawing" Target="../drawings/drawing24.xml"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4.xml"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5.xml"/><Relationship Id="rId2" Type="http://schemas.openxmlformats.org/officeDocument/2006/relationships/drawing" Target="../drawings/drawing27.xml"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6.xml"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7.xml"/><Relationship Id="rId2" Type="http://schemas.openxmlformats.org/officeDocument/2006/relationships/drawing" Target="../drawings/drawing30.xml"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8.xml"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9.xml"/><Relationship Id="rId2" Type="http://schemas.openxmlformats.org/officeDocument/2006/relationships/drawing" Target="../drawings/drawing33.xml"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20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.xml"/><Relationship Id="rId2" Type="http://schemas.openxmlformats.org/officeDocument/2006/relationships/drawing" Target="../drawings/drawing7.xm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2.xml"/><Relationship Id="rId2" Type="http://schemas.openxmlformats.org/officeDocument/2006/relationships/drawing" Target="../drawings/drawing9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=HYPERLINK("#'7.Nodes'!A1", "&lt;Go&gt;")</f>
      </c>
    </row>
  </sheetData>
  <headerFooter/>
  <drawing r:id="rId2"/>
</worksheet>
</file>

<file path=xl/worksheets/sheet11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  <col min="7" max="7" width="20" customWidth="1"/>
    <col min="8" max="8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=HYPERLINK("#'7.Nodes'!A1", "&lt;Go&gt;")</f>
      </c>
    </row>
  </sheetData>
  <headerFooter/>
  <drawing r:id="rId2"/>
</worksheet>
</file>

<file path=xl/worksheets/sheet12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=HYPERLINK("#'7.Nodes'!A1", "&lt;Go&gt;")</f>
      </c>
    </row>
  </sheetData>
  <headerFooter/>
  <drawing r:id="rId2"/>
</worksheet>
</file>

<file path=xl/worksheets/sheet1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  <col min="7" max="7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=HYPERLINK("#'7.Nodes'!A1", "&lt;Go&gt;")</f>
      </c>
    </row>
  </sheetData>
  <headerFooter/>
  <drawing r:id="rId2"/>
</worksheet>
</file>

<file path=xl/worksheets/sheet14.xml><?xml version="1.0" encoding="utf-8"?>
<worksheet xmlns:r="http://schemas.openxmlformats.org/officeDocument/2006/relationships" xmlns="http://schemas.openxmlformats.org/spreadsheetml/2006/main">
  <dimension ref="A1:J22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5" max="5" width="10" customWidth="1"/>
    <col min="6" max="6" width="25" customWidth="1"/>
    <col min="7" max="7" width="25" customWidth="1"/>
  </cols>
  <sheetData>
    <row r="1">
      <c r="A1" s="0" t="s">
        <v>0</v>
      </c>
      <c r="B1" s="1">
        <f>=HYPERLINK("#'2.Contents'!A1", "&lt;Go&gt;")</f>
      </c>
    </row>
    <row r="2">
      <c r="A2" s="0" t="s">
        <v>323</v>
      </c>
      <c r="B2" s="1">
        <f>=HYPERLINK("#'8.Node Startup Options.Type'!A1", "&lt;Go&gt;")</f>
      </c>
    </row>
    <row r="3">
      <c r="A3" s="0" t="s">
        <v>324</v>
      </c>
      <c r="B3" s="1">
        <f>=HYPERLINK("#'8.Node Startup Options.Location'!A1",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204</v>
      </c>
      <c r="E4" s="0" t="s">
        <v>149</v>
      </c>
      <c r="F4" s="0" t="s">
        <v>325</v>
      </c>
      <c r="G4" s="0" t="s">
        <v>326</v>
      </c>
      <c r="H4" s="0" t="s">
        <v>26</v>
      </c>
      <c r="I4" s="0" t="s">
        <v>150</v>
      </c>
      <c r="J4" s="0" t="s">
        <v>250</v>
      </c>
    </row>
    <row r="5">
      <c r="A5" s="0" t="s">
        <v>28</v>
      </c>
      <c r="B5" s="0" t="s">
        <v>30</v>
      </c>
      <c r="C5" s="0" t="s">
        <v>178</v>
      </c>
      <c r="D5" s="0" t="s">
        <v>260</v>
      </c>
      <c r="E5" s="0" t="s">
        <v>154</v>
      </c>
      <c r="F5" s="0" t="s">
        <v>327</v>
      </c>
      <c r="G5" s="0" t="s">
        <v>30</v>
      </c>
      <c r="H5" s="0">
        <v>12</v>
      </c>
      <c r="I5" s="0">
        <v>49</v>
      </c>
      <c r="J5" s="0">
        <v>2774</v>
      </c>
    </row>
    <row r="6">
      <c r="A6" s="0" t="s">
        <v>28</v>
      </c>
      <c r="B6" s="0" t="s">
        <v>30</v>
      </c>
      <c r="C6" s="0" t="s">
        <v>178</v>
      </c>
      <c r="D6" s="0" t="s">
        <v>260</v>
      </c>
      <c r="E6" s="0" t="s">
        <v>154</v>
      </c>
      <c r="F6" s="0" t="s">
        <v>328</v>
      </c>
      <c r="G6" s="0" t="s">
        <v>260</v>
      </c>
      <c r="H6" s="0">
        <v>12</v>
      </c>
      <c r="I6" s="0">
        <v>49</v>
      </c>
      <c r="J6" s="0">
        <v>2774</v>
      </c>
    </row>
    <row r="7">
      <c r="A7" s="0" t="s">
        <v>28</v>
      </c>
      <c r="B7" s="0" t="s">
        <v>30</v>
      </c>
      <c r="C7" s="0" t="s">
        <v>178</v>
      </c>
      <c r="D7" s="0" t="s">
        <v>260</v>
      </c>
      <c r="E7" s="0" t="s">
        <v>154</v>
      </c>
      <c r="F7" s="0" t="s">
        <v>329</v>
      </c>
      <c r="G7" s="0" t="s">
        <v>178</v>
      </c>
      <c r="H7" s="0">
        <v>12</v>
      </c>
      <c r="I7" s="0">
        <v>49</v>
      </c>
      <c r="J7" s="0">
        <v>2774</v>
      </c>
    </row>
    <row r="8">
      <c r="A8" s="0" t="s">
        <v>28</v>
      </c>
      <c r="B8" s="0" t="s">
        <v>30</v>
      </c>
      <c r="C8" s="0" t="s">
        <v>178</v>
      </c>
      <c r="D8" s="0" t="s">
        <v>260</v>
      </c>
      <c r="E8" s="0" t="s">
        <v>154</v>
      </c>
      <c r="F8" s="0" t="s">
        <v>330</v>
      </c>
      <c r="G8" s="0" t="s">
        <v>114</v>
      </c>
      <c r="H8" s="0">
        <v>12</v>
      </c>
      <c r="I8" s="0">
        <v>49</v>
      </c>
      <c r="J8" s="0">
        <v>2774</v>
      </c>
    </row>
    <row r="9">
      <c r="A9" s="0" t="s">
        <v>28</v>
      </c>
      <c r="B9" s="0" t="s">
        <v>30</v>
      </c>
      <c r="C9" s="0" t="s">
        <v>178</v>
      </c>
      <c r="D9" s="0" t="s">
        <v>260</v>
      </c>
      <c r="E9" s="0" t="s">
        <v>154</v>
      </c>
      <c r="F9" s="0" t="s">
        <v>331</v>
      </c>
      <c r="G9" s="0" t="s">
        <v>332</v>
      </c>
      <c r="H9" s="0">
        <v>12</v>
      </c>
      <c r="I9" s="0">
        <v>49</v>
      </c>
      <c r="J9" s="0">
        <v>2774</v>
      </c>
    </row>
    <row r="10">
      <c r="A10" s="0" t="s">
        <v>28</v>
      </c>
      <c r="B10" s="0" t="s">
        <v>30</v>
      </c>
      <c r="C10" s="0" t="s">
        <v>178</v>
      </c>
      <c r="D10" s="0" t="s">
        <v>260</v>
      </c>
      <c r="E10" s="0" t="s">
        <v>154</v>
      </c>
      <c r="F10" s="0" t="s">
        <v>333</v>
      </c>
      <c r="G10" s="0" t="s">
        <v>334</v>
      </c>
      <c r="H10" s="0">
        <v>12</v>
      </c>
      <c r="I10" s="0">
        <v>49</v>
      </c>
      <c r="J10" s="0">
        <v>2774</v>
      </c>
    </row>
    <row r="11">
      <c r="A11" s="0" t="s">
        <v>28</v>
      </c>
      <c r="B11" s="0" t="s">
        <v>30</v>
      </c>
      <c r="C11" s="0" t="s">
        <v>178</v>
      </c>
      <c r="D11" s="0" t="s">
        <v>260</v>
      </c>
      <c r="E11" s="0" t="s">
        <v>154</v>
      </c>
      <c r="F11" s="0" t="s">
        <v>333</v>
      </c>
      <c r="G11" s="0" t="s">
        <v>335</v>
      </c>
      <c r="H11" s="0">
        <v>12</v>
      </c>
      <c r="I11" s="0">
        <v>49</v>
      </c>
      <c r="J11" s="0">
        <v>2774</v>
      </c>
    </row>
    <row r="12">
      <c r="A12" s="0" t="s">
        <v>28</v>
      </c>
      <c r="B12" s="0" t="s">
        <v>30</v>
      </c>
      <c r="C12" s="0" t="s">
        <v>178</v>
      </c>
      <c r="D12" s="0" t="s">
        <v>260</v>
      </c>
      <c r="E12" s="0" t="s">
        <v>154</v>
      </c>
      <c r="F12" s="0" t="s">
        <v>336</v>
      </c>
      <c r="G12" s="0" t="s">
        <v>337</v>
      </c>
      <c r="H12" s="0">
        <v>12</v>
      </c>
      <c r="I12" s="0">
        <v>49</v>
      </c>
      <c r="J12" s="0">
        <v>2774</v>
      </c>
    </row>
    <row r="13">
      <c r="A13" s="0" t="s">
        <v>28</v>
      </c>
      <c r="B13" s="0" t="s">
        <v>30</v>
      </c>
      <c r="C13" s="0" t="s">
        <v>178</v>
      </c>
      <c r="D13" s="0" t="s">
        <v>260</v>
      </c>
      <c r="E13" s="0" t="s">
        <v>154</v>
      </c>
      <c r="F13" s="0" t="s">
        <v>338</v>
      </c>
      <c r="G13" s="0" t="s">
        <v>339</v>
      </c>
      <c r="H13" s="0">
        <v>12</v>
      </c>
      <c r="I13" s="0">
        <v>49</v>
      </c>
      <c r="J13" s="0">
        <v>2774</v>
      </c>
    </row>
    <row r="14">
      <c r="A14" s="0" t="s">
        <v>28</v>
      </c>
      <c r="B14" s="0" t="s">
        <v>30</v>
      </c>
      <c r="C14" s="0" t="s">
        <v>178</v>
      </c>
      <c r="D14" s="0" t="s">
        <v>260</v>
      </c>
      <c r="E14" s="0" t="s">
        <v>154</v>
      </c>
      <c r="F14" s="0" t="s">
        <v>340</v>
      </c>
      <c r="G14" s="0" t="s">
        <v>341</v>
      </c>
      <c r="H14" s="0">
        <v>12</v>
      </c>
      <c r="I14" s="0">
        <v>49</v>
      </c>
      <c r="J14" s="0">
        <v>2774</v>
      </c>
    </row>
    <row r="15">
      <c r="A15" s="0" t="s">
        <v>28</v>
      </c>
      <c r="B15" s="0" t="s">
        <v>30</v>
      </c>
      <c r="C15" s="0" t="s">
        <v>178</v>
      </c>
      <c r="D15" s="0" t="s">
        <v>260</v>
      </c>
      <c r="E15" s="0" t="s">
        <v>154</v>
      </c>
      <c r="F15" s="0" t="s">
        <v>342</v>
      </c>
      <c r="G15" s="0" t="s">
        <v>341</v>
      </c>
      <c r="H15" s="0">
        <v>12</v>
      </c>
      <c r="I15" s="0">
        <v>49</v>
      </c>
      <c r="J15" s="0">
        <v>2774</v>
      </c>
    </row>
    <row r="16">
      <c r="A16" s="0" t="s">
        <v>28</v>
      </c>
      <c r="B16" s="0" t="s">
        <v>30</v>
      </c>
      <c r="C16" s="0" t="s">
        <v>178</v>
      </c>
      <c r="D16" s="0" t="s">
        <v>260</v>
      </c>
      <c r="E16" s="0" t="s">
        <v>154</v>
      </c>
      <c r="F16" s="0" t="s">
        <v>343</v>
      </c>
      <c r="G16" s="0" t="s">
        <v>344</v>
      </c>
      <c r="H16" s="0">
        <v>12</v>
      </c>
      <c r="I16" s="0">
        <v>49</v>
      </c>
      <c r="J16" s="0">
        <v>2774</v>
      </c>
    </row>
    <row r="17">
      <c r="A17" s="0" t="s">
        <v>28</v>
      </c>
      <c r="B17" s="0" t="s">
        <v>30</v>
      </c>
      <c r="C17" s="0" t="s">
        <v>178</v>
      </c>
      <c r="D17" s="0" t="s">
        <v>260</v>
      </c>
      <c r="E17" s="0" t="s">
        <v>154</v>
      </c>
      <c r="F17" s="0" t="s">
        <v>345</v>
      </c>
      <c r="G17" s="0" t="s">
        <v>337</v>
      </c>
      <c r="H17" s="0">
        <v>12</v>
      </c>
      <c r="I17" s="0">
        <v>49</v>
      </c>
      <c r="J17" s="0">
        <v>2774</v>
      </c>
    </row>
    <row r="18">
      <c r="A18" s="0" t="s">
        <v>28</v>
      </c>
      <c r="B18" s="0" t="s">
        <v>30</v>
      </c>
      <c r="C18" s="0" t="s">
        <v>178</v>
      </c>
      <c r="D18" s="0" t="s">
        <v>260</v>
      </c>
      <c r="E18" s="0" t="s">
        <v>154</v>
      </c>
      <c r="F18" s="0" t="s">
        <v>346</v>
      </c>
      <c r="G18" s="0" t="s">
        <v>347</v>
      </c>
      <c r="H18" s="0">
        <v>12</v>
      </c>
      <c r="I18" s="0">
        <v>49</v>
      </c>
      <c r="J18" s="0">
        <v>2774</v>
      </c>
    </row>
    <row r="19">
      <c r="A19" s="0" t="s">
        <v>28</v>
      </c>
      <c r="B19" s="0" t="s">
        <v>30</v>
      </c>
      <c r="C19" s="0" t="s">
        <v>178</v>
      </c>
      <c r="D19" s="0" t="s">
        <v>260</v>
      </c>
      <c r="E19" s="0" t="s">
        <v>154</v>
      </c>
      <c r="F19" s="0" t="s">
        <v>348</v>
      </c>
      <c r="G19" s="0" t="s">
        <v>349</v>
      </c>
      <c r="H19" s="0">
        <v>12</v>
      </c>
      <c r="I19" s="0">
        <v>49</v>
      </c>
      <c r="J19" s="0">
        <v>2774</v>
      </c>
    </row>
    <row r="20">
      <c r="A20" s="0" t="s">
        <v>28</v>
      </c>
      <c r="B20" s="0" t="s">
        <v>30</v>
      </c>
      <c r="C20" s="0" t="s">
        <v>178</v>
      </c>
      <c r="D20" s="0" t="s">
        <v>260</v>
      </c>
      <c r="E20" s="0" t="s">
        <v>154</v>
      </c>
      <c r="F20" s="0" t="s">
        <v>350</v>
      </c>
      <c r="G20" s="0" t="s">
        <v>349</v>
      </c>
      <c r="H20" s="0">
        <v>12</v>
      </c>
      <c r="I20" s="0">
        <v>49</v>
      </c>
      <c r="J20" s="0">
        <v>2774</v>
      </c>
    </row>
    <row r="21">
      <c r="A21" s="0" t="s">
        <v>28</v>
      </c>
      <c r="B21" s="0" t="s">
        <v>30</v>
      </c>
      <c r="C21" s="0" t="s">
        <v>178</v>
      </c>
      <c r="D21" s="0" t="s">
        <v>281</v>
      </c>
      <c r="E21" s="0" t="s">
        <v>154</v>
      </c>
      <c r="F21" s="0" t="s">
        <v>327</v>
      </c>
      <c r="G21" s="0" t="s">
        <v>30</v>
      </c>
      <c r="H21" s="0">
        <v>12</v>
      </c>
      <c r="I21" s="0">
        <v>49</v>
      </c>
      <c r="J21" s="0">
        <v>2775</v>
      </c>
    </row>
    <row r="22">
      <c r="A22" s="0" t="s">
        <v>28</v>
      </c>
      <c r="B22" s="0" t="s">
        <v>30</v>
      </c>
      <c r="C22" s="0" t="s">
        <v>178</v>
      </c>
      <c r="D22" s="0" t="s">
        <v>281</v>
      </c>
      <c r="E22" s="0" t="s">
        <v>154</v>
      </c>
      <c r="F22" s="0" t="s">
        <v>328</v>
      </c>
      <c r="G22" s="0" t="s">
        <v>281</v>
      </c>
      <c r="H22" s="0">
        <v>12</v>
      </c>
      <c r="I22" s="0">
        <v>49</v>
      </c>
      <c r="J22" s="0">
        <v>2775</v>
      </c>
    </row>
    <row r="23">
      <c r="A23" s="0" t="s">
        <v>28</v>
      </c>
      <c r="B23" s="0" t="s">
        <v>30</v>
      </c>
      <c r="C23" s="0" t="s">
        <v>178</v>
      </c>
      <c r="D23" s="0" t="s">
        <v>281</v>
      </c>
      <c r="E23" s="0" t="s">
        <v>154</v>
      </c>
      <c r="F23" s="0" t="s">
        <v>329</v>
      </c>
      <c r="G23" s="0" t="s">
        <v>178</v>
      </c>
      <c r="H23" s="0">
        <v>12</v>
      </c>
      <c r="I23" s="0">
        <v>49</v>
      </c>
      <c r="J23" s="0">
        <v>2775</v>
      </c>
    </row>
    <row r="24">
      <c r="A24" s="0" t="s">
        <v>28</v>
      </c>
      <c r="B24" s="0" t="s">
        <v>30</v>
      </c>
      <c r="C24" s="0" t="s">
        <v>178</v>
      </c>
      <c r="D24" s="0" t="s">
        <v>281</v>
      </c>
      <c r="E24" s="0" t="s">
        <v>154</v>
      </c>
      <c r="F24" s="0" t="s">
        <v>330</v>
      </c>
      <c r="G24" s="0" t="s">
        <v>114</v>
      </c>
      <c r="H24" s="0">
        <v>12</v>
      </c>
      <c r="I24" s="0">
        <v>49</v>
      </c>
      <c r="J24" s="0">
        <v>2775</v>
      </c>
    </row>
    <row r="25">
      <c r="A25" s="0" t="s">
        <v>28</v>
      </c>
      <c r="B25" s="0" t="s">
        <v>30</v>
      </c>
      <c r="C25" s="0" t="s">
        <v>178</v>
      </c>
      <c r="D25" s="0" t="s">
        <v>281</v>
      </c>
      <c r="E25" s="0" t="s">
        <v>154</v>
      </c>
      <c r="F25" s="0" t="s">
        <v>331</v>
      </c>
      <c r="G25" s="0" t="s">
        <v>332</v>
      </c>
      <c r="H25" s="0">
        <v>12</v>
      </c>
      <c r="I25" s="0">
        <v>49</v>
      </c>
      <c r="J25" s="0">
        <v>2775</v>
      </c>
    </row>
    <row r="26">
      <c r="A26" s="0" t="s">
        <v>28</v>
      </c>
      <c r="B26" s="0" t="s">
        <v>30</v>
      </c>
      <c r="C26" s="0" t="s">
        <v>178</v>
      </c>
      <c r="D26" s="0" t="s">
        <v>281</v>
      </c>
      <c r="E26" s="0" t="s">
        <v>154</v>
      </c>
      <c r="F26" s="0" t="s">
        <v>333</v>
      </c>
      <c r="G26" s="0" t="s">
        <v>334</v>
      </c>
      <c r="H26" s="0">
        <v>12</v>
      </c>
      <c r="I26" s="0">
        <v>49</v>
      </c>
      <c r="J26" s="0">
        <v>2775</v>
      </c>
    </row>
    <row r="27">
      <c r="A27" s="0" t="s">
        <v>28</v>
      </c>
      <c r="B27" s="0" t="s">
        <v>30</v>
      </c>
      <c r="C27" s="0" t="s">
        <v>178</v>
      </c>
      <c r="D27" s="0" t="s">
        <v>281</v>
      </c>
      <c r="E27" s="0" t="s">
        <v>154</v>
      </c>
      <c r="F27" s="0" t="s">
        <v>333</v>
      </c>
      <c r="G27" s="0" t="s">
        <v>335</v>
      </c>
      <c r="H27" s="0">
        <v>12</v>
      </c>
      <c r="I27" s="0">
        <v>49</v>
      </c>
      <c r="J27" s="0">
        <v>2775</v>
      </c>
    </row>
    <row r="28">
      <c r="A28" s="0" t="s">
        <v>28</v>
      </c>
      <c r="B28" s="0" t="s">
        <v>30</v>
      </c>
      <c r="C28" s="0" t="s">
        <v>178</v>
      </c>
      <c r="D28" s="0" t="s">
        <v>281</v>
      </c>
      <c r="E28" s="0" t="s">
        <v>154</v>
      </c>
      <c r="F28" s="0" t="s">
        <v>336</v>
      </c>
      <c r="G28" s="0" t="s">
        <v>337</v>
      </c>
      <c r="H28" s="0">
        <v>12</v>
      </c>
      <c r="I28" s="0">
        <v>49</v>
      </c>
      <c r="J28" s="0">
        <v>2775</v>
      </c>
    </row>
    <row r="29">
      <c r="A29" s="0" t="s">
        <v>28</v>
      </c>
      <c r="B29" s="0" t="s">
        <v>30</v>
      </c>
      <c r="C29" s="0" t="s">
        <v>178</v>
      </c>
      <c r="D29" s="0" t="s">
        <v>281</v>
      </c>
      <c r="E29" s="0" t="s">
        <v>154</v>
      </c>
      <c r="F29" s="0" t="s">
        <v>338</v>
      </c>
      <c r="G29" s="0" t="s">
        <v>351</v>
      </c>
      <c r="H29" s="0">
        <v>12</v>
      </c>
      <c r="I29" s="0">
        <v>49</v>
      </c>
      <c r="J29" s="0">
        <v>2775</v>
      </c>
    </row>
    <row r="30">
      <c r="A30" s="0" t="s">
        <v>28</v>
      </c>
      <c r="B30" s="0" t="s">
        <v>30</v>
      </c>
      <c r="C30" s="0" t="s">
        <v>178</v>
      </c>
      <c r="D30" s="0" t="s">
        <v>281</v>
      </c>
      <c r="E30" s="0" t="s">
        <v>154</v>
      </c>
      <c r="F30" s="0" t="s">
        <v>340</v>
      </c>
      <c r="G30" s="0" t="s">
        <v>341</v>
      </c>
      <c r="H30" s="0">
        <v>12</v>
      </c>
      <c r="I30" s="0">
        <v>49</v>
      </c>
      <c r="J30" s="0">
        <v>2775</v>
      </c>
    </row>
    <row r="31">
      <c r="A31" s="0" t="s">
        <v>28</v>
      </c>
      <c r="B31" s="0" t="s">
        <v>30</v>
      </c>
      <c r="C31" s="0" t="s">
        <v>178</v>
      </c>
      <c r="D31" s="0" t="s">
        <v>281</v>
      </c>
      <c r="E31" s="0" t="s">
        <v>154</v>
      </c>
      <c r="F31" s="0" t="s">
        <v>342</v>
      </c>
      <c r="G31" s="0" t="s">
        <v>341</v>
      </c>
      <c r="H31" s="0">
        <v>12</v>
      </c>
      <c r="I31" s="0">
        <v>49</v>
      </c>
      <c r="J31" s="0">
        <v>2775</v>
      </c>
    </row>
    <row r="32">
      <c r="A32" s="0" t="s">
        <v>28</v>
      </c>
      <c r="B32" s="0" t="s">
        <v>30</v>
      </c>
      <c r="C32" s="0" t="s">
        <v>178</v>
      </c>
      <c r="D32" s="0" t="s">
        <v>281</v>
      </c>
      <c r="E32" s="0" t="s">
        <v>154</v>
      </c>
      <c r="F32" s="0" t="s">
        <v>343</v>
      </c>
      <c r="G32" s="0" t="s">
        <v>344</v>
      </c>
      <c r="H32" s="0">
        <v>12</v>
      </c>
      <c r="I32" s="0">
        <v>49</v>
      </c>
      <c r="J32" s="0">
        <v>2775</v>
      </c>
    </row>
    <row r="33">
      <c r="A33" s="0" t="s">
        <v>28</v>
      </c>
      <c r="B33" s="0" t="s">
        <v>30</v>
      </c>
      <c r="C33" s="0" t="s">
        <v>178</v>
      </c>
      <c r="D33" s="0" t="s">
        <v>281</v>
      </c>
      <c r="E33" s="0" t="s">
        <v>154</v>
      </c>
      <c r="F33" s="0" t="s">
        <v>345</v>
      </c>
      <c r="G33" s="0" t="s">
        <v>337</v>
      </c>
      <c r="H33" s="0">
        <v>12</v>
      </c>
      <c r="I33" s="0">
        <v>49</v>
      </c>
      <c r="J33" s="0">
        <v>2775</v>
      </c>
    </row>
    <row r="34">
      <c r="A34" s="0" t="s">
        <v>28</v>
      </c>
      <c r="B34" s="0" t="s">
        <v>30</v>
      </c>
      <c r="C34" s="0" t="s">
        <v>178</v>
      </c>
      <c r="D34" s="0" t="s">
        <v>281</v>
      </c>
      <c r="E34" s="0" t="s">
        <v>154</v>
      </c>
      <c r="F34" s="0" t="s">
        <v>346</v>
      </c>
      <c r="G34" s="0" t="s">
        <v>352</v>
      </c>
      <c r="H34" s="0">
        <v>12</v>
      </c>
      <c r="I34" s="0">
        <v>49</v>
      </c>
      <c r="J34" s="0">
        <v>2775</v>
      </c>
    </row>
    <row r="35">
      <c r="A35" s="0" t="s">
        <v>28</v>
      </c>
      <c r="B35" s="0" t="s">
        <v>30</v>
      </c>
      <c r="C35" s="0" t="s">
        <v>178</v>
      </c>
      <c r="D35" s="0" t="s">
        <v>281</v>
      </c>
      <c r="E35" s="0" t="s">
        <v>154</v>
      </c>
      <c r="F35" s="0" t="s">
        <v>348</v>
      </c>
      <c r="G35" s="0" t="s">
        <v>349</v>
      </c>
      <c r="H35" s="0">
        <v>12</v>
      </c>
      <c r="I35" s="0">
        <v>49</v>
      </c>
      <c r="J35" s="0">
        <v>2775</v>
      </c>
    </row>
    <row r="36">
      <c r="A36" s="0" t="s">
        <v>28</v>
      </c>
      <c r="B36" s="0" t="s">
        <v>30</v>
      </c>
      <c r="C36" s="0" t="s">
        <v>178</v>
      </c>
      <c r="D36" s="0" t="s">
        <v>281</v>
      </c>
      <c r="E36" s="0" t="s">
        <v>154</v>
      </c>
      <c r="F36" s="0" t="s">
        <v>350</v>
      </c>
      <c r="G36" s="0" t="s">
        <v>349</v>
      </c>
      <c r="H36" s="0">
        <v>12</v>
      </c>
      <c r="I36" s="0">
        <v>49</v>
      </c>
      <c r="J36" s="0">
        <v>2775</v>
      </c>
    </row>
    <row r="37">
      <c r="A37" s="0" t="s">
        <v>28</v>
      </c>
      <c r="B37" s="0" t="s">
        <v>30</v>
      </c>
      <c r="C37" s="0" t="s">
        <v>180</v>
      </c>
      <c r="D37" s="0" t="s">
        <v>283</v>
      </c>
      <c r="E37" s="0" t="s">
        <v>154</v>
      </c>
      <c r="F37" s="0" t="s">
        <v>327</v>
      </c>
      <c r="G37" s="0" t="s">
        <v>30</v>
      </c>
      <c r="H37" s="0">
        <v>12</v>
      </c>
      <c r="I37" s="0">
        <v>50</v>
      </c>
      <c r="J37" s="0">
        <v>2784</v>
      </c>
    </row>
    <row r="38">
      <c r="A38" s="0" t="s">
        <v>28</v>
      </c>
      <c r="B38" s="0" t="s">
        <v>30</v>
      </c>
      <c r="C38" s="0" t="s">
        <v>180</v>
      </c>
      <c r="D38" s="0" t="s">
        <v>283</v>
      </c>
      <c r="E38" s="0" t="s">
        <v>154</v>
      </c>
      <c r="F38" s="0" t="s">
        <v>328</v>
      </c>
      <c r="G38" s="0" t="s">
        <v>283</v>
      </c>
      <c r="H38" s="0">
        <v>12</v>
      </c>
      <c r="I38" s="0">
        <v>50</v>
      </c>
      <c r="J38" s="0">
        <v>2784</v>
      </c>
    </row>
    <row r="39">
      <c r="A39" s="0" t="s">
        <v>28</v>
      </c>
      <c r="B39" s="0" t="s">
        <v>30</v>
      </c>
      <c r="C39" s="0" t="s">
        <v>180</v>
      </c>
      <c r="D39" s="0" t="s">
        <v>283</v>
      </c>
      <c r="E39" s="0" t="s">
        <v>154</v>
      </c>
      <c r="F39" s="0" t="s">
        <v>329</v>
      </c>
      <c r="G39" s="0" t="s">
        <v>180</v>
      </c>
      <c r="H39" s="0">
        <v>12</v>
      </c>
      <c r="I39" s="0">
        <v>50</v>
      </c>
      <c r="J39" s="0">
        <v>2784</v>
      </c>
    </row>
    <row r="40">
      <c r="A40" s="0" t="s">
        <v>28</v>
      </c>
      <c r="B40" s="0" t="s">
        <v>30</v>
      </c>
      <c r="C40" s="0" t="s">
        <v>180</v>
      </c>
      <c r="D40" s="0" t="s">
        <v>283</v>
      </c>
      <c r="E40" s="0" t="s">
        <v>154</v>
      </c>
      <c r="F40" s="0" t="s">
        <v>330</v>
      </c>
      <c r="G40" s="0" t="s">
        <v>114</v>
      </c>
      <c r="H40" s="0">
        <v>12</v>
      </c>
      <c r="I40" s="0">
        <v>50</v>
      </c>
      <c r="J40" s="0">
        <v>2784</v>
      </c>
    </row>
    <row r="41">
      <c r="A41" s="0" t="s">
        <v>28</v>
      </c>
      <c r="B41" s="0" t="s">
        <v>30</v>
      </c>
      <c r="C41" s="0" t="s">
        <v>180</v>
      </c>
      <c r="D41" s="0" t="s">
        <v>283</v>
      </c>
      <c r="E41" s="0" t="s">
        <v>154</v>
      </c>
      <c r="F41" s="0" t="s">
        <v>331</v>
      </c>
      <c r="G41" s="0" t="s">
        <v>332</v>
      </c>
      <c r="H41" s="0">
        <v>12</v>
      </c>
      <c r="I41" s="0">
        <v>50</v>
      </c>
      <c r="J41" s="0">
        <v>2784</v>
      </c>
    </row>
    <row r="42">
      <c r="A42" s="0" t="s">
        <v>28</v>
      </c>
      <c r="B42" s="0" t="s">
        <v>30</v>
      </c>
      <c r="C42" s="0" t="s">
        <v>180</v>
      </c>
      <c r="D42" s="0" t="s">
        <v>283</v>
      </c>
      <c r="E42" s="0" t="s">
        <v>154</v>
      </c>
      <c r="F42" s="0" t="s">
        <v>333</v>
      </c>
      <c r="G42" s="0" t="s">
        <v>353</v>
      </c>
      <c r="H42" s="0">
        <v>12</v>
      </c>
      <c r="I42" s="0">
        <v>50</v>
      </c>
      <c r="J42" s="0">
        <v>2784</v>
      </c>
    </row>
    <row r="43">
      <c r="A43" s="0" t="s">
        <v>28</v>
      </c>
      <c r="B43" s="0" t="s">
        <v>30</v>
      </c>
      <c r="C43" s="0" t="s">
        <v>180</v>
      </c>
      <c r="D43" s="0" t="s">
        <v>283</v>
      </c>
      <c r="E43" s="0" t="s">
        <v>154</v>
      </c>
      <c r="F43" s="0" t="s">
        <v>333</v>
      </c>
      <c r="G43" s="0" t="s">
        <v>335</v>
      </c>
      <c r="H43" s="0">
        <v>12</v>
      </c>
      <c r="I43" s="0">
        <v>50</v>
      </c>
      <c r="J43" s="0">
        <v>2784</v>
      </c>
    </row>
    <row r="44">
      <c r="A44" s="0" t="s">
        <v>28</v>
      </c>
      <c r="B44" s="0" t="s">
        <v>30</v>
      </c>
      <c r="C44" s="0" t="s">
        <v>180</v>
      </c>
      <c r="D44" s="0" t="s">
        <v>283</v>
      </c>
      <c r="E44" s="0" t="s">
        <v>154</v>
      </c>
      <c r="F44" s="0" t="s">
        <v>336</v>
      </c>
      <c r="G44" s="0" t="s">
        <v>354</v>
      </c>
      <c r="H44" s="0">
        <v>12</v>
      </c>
      <c r="I44" s="0">
        <v>50</v>
      </c>
      <c r="J44" s="0">
        <v>2784</v>
      </c>
    </row>
    <row r="45">
      <c r="A45" s="0" t="s">
        <v>28</v>
      </c>
      <c r="B45" s="0" t="s">
        <v>30</v>
      </c>
      <c r="C45" s="0" t="s">
        <v>180</v>
      </c>
      <c r="D45" s="0" t="s">
        <v>283</v>
      </c>
      <c r="E45" s="0" t="s">
        <v>154</v>
      </c>
      <c r="F45" s="0" t="s">
        <v>338</v>
      </c>
      <c r="G45" s="0" t="s">
        <v>355</v>
      </c>
      <c r="H45" s="0">
        <v>12</v>
      </c>
      <c r="I45" s="0">
        <v>50</v>
      </c>
      <c r="J45" s="0">
        <v>2784</v>
      </c>
    </row>
    <row r="46">
      <c r="A46" s="0" t="s">
        <v>28</v>
      </c>
      <c r="B46" s="0" t="s">
        <v>30</v>
      </c>
      <c r="C46" s="0" t="s">
        <v>180</v>
      </c>
      <c r="D46" s="0" t="s">
        <v>283</v>
      </c>
      <c r="E46" s="0" t="s">
        <v>154</v>
      </c>
      <c r="F46" s="0" t="s">
        <v>340</v>
      </c>
      <c r="G46" s="0" t="s">
        <v>341</v>
      </c>
      <c r="H46" s="0">
        <v>12</v>
      </c>
      <c r="I46" s="0">
        <v>50</v>
      </c>
      <c r="J46" s="0">
        <v>2784</v>
      </c>
    </row>
    <row r="47">
      <c r="A47" s="0" t="s">
        <v>28</v>
      </c>
      <c r="B47" s="0" t="s">
        <v>30</v>
      </c>
      <c r="C47" s="0" t="s">
        <v>180</v>
      </c>
      <c r="D47" s="0" t="s">
        <v>283</v>
      </c>
      <c r="E47" s="0" t="s">
        <v>154</v>
      </c>
      <c r="F47" s="0" t="s">
        <v>342</v>
      </c>
      <c r="G47" s="0" t="s">
        <v>341</v>
      </c>
      <c r="H47" s="0">
        <v>12</v>
      </c>
      <c r="I47" s="0">
        <v>50</v>
      </c>
      <c r="J47" s="0">
        <v>2784</v>
      </c>
    </row>
    <row r="48">
      <c r="A48" s="0" t="s">
        <v>28</v>
      </c>
      <c r="B48" s="0" t="s">
        <v>30</v>
      </c>
      <c r="C48" s="0" t="s">
        <v>180</v>
      </c>
      <c r="D48" s="0" t="s">
        <v>283</v>
      </c>
      <c r="E48" s="0" t="s">
        <v>154</v>
      </c>
      <c r="F48" s="0" t="s">
        <v>343</v>
      </c>
      <c r="G48" s="0" t="s">
        <v>344</v>
      </c>
      <c r="H48" s="0">
        <v>12</v>
      </c>
      <c r="I48" s="0">
        <v>50</v>
      </c>
      <c r="J48" s="0">
        <v>2784</v>
      </c>
    </row>
    <row r="49">
      <c r="A49" s="0" t="s">
        <v>28</v>
      </c>
      <c r="B49" s="0" t="s">
        <v>30</v>
      </c>
      <c r="C49" s="0" t="s">
        <v>180</v>
      </c>
      <c r="D49" s="0" t="s">
        <v>283</v>
      </c>
      <c r="E49" s="0" t="s">
        <v>154</v>
      </c>
      <c r="F49" s="0" t="s">
        <v>345</v>
      </c>
      <c r="G49" s="0" t="s">
        <v>354</v>
      </c>
      <c r="H49" s="0">
        <v>12</v>
      </c>
      <c r="I49" s="0">
        <v>50</v>
      </c>
      <c r="J49" s="0">
        <v>2784</v>
      </c>
    </row>
    <row r="50">
      <c r="A50" s="0" t="s">
        <v>28</v>
      </c>
      <c r="B50" s="0" t="s">
        <v>30</v>
      </c>
      <c r="C50" s="0" t="s">
        <v>180</v>
      </c>
      <c r="D50" s="0" t="s">
        <v>283</v>
      </c>
      <c r="E50" s="0" t="s">
        <v>154</v>
      </c>
      <c r="F50" s="0" t="s">
        <v>346</v>
      </c>
      <c r="G50" s="0" t="s">
        <v>356</v>
      </c>
      <c r="H50" s="0">
        <v>12</v>
      </c>
      <c r="I50" s="0">
        <v>50</v>
      </c>
      <c r="J50" s="0">
        <v>2784</v>
      </c>
    </row>
    <row r="51">
      <c r="A51" s="0" t="s">
        <v>28</v>
      </c>
      <c r="B51" s="0" t="s">
        <v>30</v>
      </c>
      <c r="C51" s="0" t="s">
        <v>180</v>
      </c>
      <c r="D51" s="0" t="s">
        <v>283</v>
      </c>
      <c r="E51" s="0" t="s">
        <v>154</v>
      </c>
      <c r="F51" s="0" t="s">
        <v>348</v>
      </c>
      <c r="G51" s="0" t="s">
        <v>357</v>
      </c>
      <c r="H51" s="0">
        <v>12</v>
      </c>
      <c r="I51" s="0">
        <v>50</v>
      </c>
      <c r="J51" s="0">
        <v>2784</v>
      </c>
    </row>
    <row r="52">
      <c r="A52" s="0" t="s">
        <v>28</v>
      </c>
      <c r="B52" s="0" t="s">
        <v>30</v>
      </c>
      <c r="C52" s="0" t="s">
        <v>180</v>
      </c>
      <c r="D52" s="0" t="s">
        <v>283</v>
      </c>
      <c r="E52" s="0" t="s">
        <v>154</v>
      </c>
      <c r="F52" s="0" t="s">
        <v>350</v>
      </c>
      <c r="G52" s="0" t="s">
        <v>358</v>
      </c>
      <c r="H52" s="0">
        <v>12</v>
      </c>
      <c r="I52" s="0">
        <v>50</v>
      </c>
      <c r="J52" s="0">
        <v>2784</v>
      </c>
    </row>
    <row r="53">
      <c r="A53" s="0" t="s">
        <v>28</v>
      </c>
      <c r="B53" s="0" t="s">
        <v>30</v>
      </c>
      <c r="C53" s="0" t="s">
        <v>182</v>
      </c>
      <c r="D53" s="0" t="s">
        <v>289</v>
      </c>
      <c r="E53" s="0" t="s">
        <v>154</v>
      </c>
      <c r="F53" s="0" t="s">
        <v>327</v>
      </c>
      <c r="G53" s="0" t="s">
        <v>30</v>
      </c>
      <c r="H53" s="0">
        <v>12</v>
      </c>
      <c r="I53" s="0">
        <v>52</v>
      </c>
      <c r="J53" s="0">
        <v>2786</v>
      </c>
    </row>
    <row r="54">
      <c r="A54" s="0" t="s">
        <v>28</v>
      </c>
      <c r="B54" s="0" t="s">
        <v>30</v>
      </c>
      <c r="C54" s="0" t="s">
        <v>182</v>
      </c>
      <c r="D54" s="0" t="s">
        <v>289</v>
      </c>
      <c r="E54" s="0" t="s">
        <v>154</v>
      </c>
      <c r="F54" s="0" t="s">
        <v>328</v>
      </c>
      <c r="G54" s="0" t="s">
        <v>289</v>
      </c>
      <c r="H54" s="0">
        <v>12</v>
      </c>
      <c r="I54" s="0">
        <v>52</v>
      </c>
      <c r="J54" s="0">
        <v>2786</v>
      </c>
    </row>
    <row r="55">
      <c r="A55" s="0" t="s">
        <v>28</v>
      </c>
      <c r="B55" s="0" t="s">
        <v>30</v>
      </c>
      <c r="C55" s="0" t="s">
        <v>182</v>
      </c>
      <c r="D55" s="0" t="s">
        <v>289</v>
      </c>
      <c r="E55" s="0" t="s">
        <v>154</v>
      </c>
      <c r="F55" s="0" t="s">
        <v>329</v>
      </c>
      <c r="G55" s="0" t="s">
        <v>182</v>
      </c>
      <c r="H55" s="0">
        <v>12</v>
      </c>
      <c r="I55" s="0">
        <v>52</v>
      </c>
      <c r="J55" s="0">
        <v>2786</v>
      </c>
    </row>
    <row r="56">
      <c r="A56" s="0" t="s">
        <v>28</v>
      </c>
      <c r="B56" s="0" t="s">
        <v>30</v>
      </c>
      <c r="C56" s="0" t="s">
        <v>182</v>
      </c>
      <c r="D56" s="0" t="s">
        <v>289</v>
      </c>
      <c r="E56" s="0" t="s">
        <v>154</v>
      </c>
      <c r="F56" s="0" t="s">
        <v>330</v>
      </c>
      <c r="G56" s="0" t="s">
        <v>114</v>
      </c>
      <c r="H56" s="0">
        <v>12</v>
      </c>
      <c r="I56" s="0">
        <v>52</v>
      </c>
      <c r="J56" s="0">
        <v>2786</v>
      </c>
    </row>
    <row r="57">
      <c r="A57" s="0" t="s">
        <v>28</v>
      </c>
      <c r="B57" s="0" t="s">
        <v>30</v>
      </c>
      <c r="C57" s="0" t="s">
        <v>182</v>
      </c>
      <c r="D57" s="0" t="s">
        <v>289</v>
      </c>
      <c r="E57" s="0" t="s">
        <v>154</v>
      </c>
      <c r="F57" s="0" t="s">
        <v>331</v>
      </c>
      <c r="G57" s="0" t="s">
        <v>332</v>
      </c>
      <c r="H57" s="0">
        <v>12</v>
      </c>
      <c r="I57" s="0">
        <v>52</v>
      </c>
      <c r="J57" s="0">
        <v>2786</v>
      </c>
    </row>
    <row r="58">
      <c r="A58" s="0" t="s">
        <v>28</v>
      </c>
      <c r="B58" s="0" t="s">
        <v>30</v>
      </c>
      <c r="C58" s="0" t="s">
        <v>182</v>
      </c>
      <c r="D58" s="0" t="s">
        <v>289</v>
      </c>
      <c r="E58" s="0" t="s">
        <v>154</v>
      </c>
      <c r="F58" s="0" t="s">
        <v>333</v>
      </c>
      <c r="G58" s="0" t="s">
        <v>359</v>
      </c>
      <c r="H58" s="0">
        <v>12</v>
      </c>
      <c r="I58" s="0">
        <v>52</v>
      </c>
      <c r="J58" s="0">
        <v>2786</v>
      </c>
    </row>
    <row r="59">
      <c r="A59" s="0" t="s">
        <v>28</v>
      </c>
      <c r="B59" s="0" t="s">
        <v>30</v>
      </c>
      <c r="C59" s="0" t="s">
        <v>182</v>
      </c>
      <c r="D59" s="0" t="s">
        <v>289</v>
      </c>
      <c r="E59" s="0" t="s">
        <v>154</v>
      </c>
      <c r="F59" s="0" t="s">
        <v>333</v>
      </c>
      <c r="G59" s="0" t="s">
        <v>335</v>
      </c>
      <c r="H59" s="0">
        <v>12</v>
      </c>
      <c r="I59" s="0">
        <v>52</v>
      </c>
      <c r="J59" s="0">
        <v>2786</v>
      </c>
    </row>
    <row r="60">
      <c r="A60" s="0" t="s">
        <v>28</v>
      </c>
      <c r="B60" s="0" t="s">
        <v>30</v>
      </c>
      <c r="C60" s="0" t="s">
        <v>182</v>
      </c>
      <c r="D60" s="0" t="s">
        <v>289</v>
      </c>
      <c r="E60" s="0" t="s">
        <v>154</v>
      </c>
      <c r="F60" s="0" t="s">
        <v>336</v>
      </c>
      <c r="G60" s="0" t="s">
        <v>360</v>
      </c>
      <c r="H60" s="0">
        <v>12</v>
      </c>
      <c r="I60" s="0">
        <v>52</v>
      </c>
      <c r="J60" s="0">
        <v>2786</v>
      </c>
    </row>
    <row r="61">
      <c r="A61" s="0" t="s">
        <v>28</v>
      </c>
      <c r="B61" s="0" t="s">
        <v>30</v>
      </c>
      <c r="C61" s="0" t="s">
        <v>182</v>
      </c>
      <c r="D61" s="0" t="s">
        <v>289</v>
      </c>
      <c r="E61" s="0" t="s">
        <v>154</v>
      </c>
      <c r="F61" s="0" t="s">
        <v>338</v>
      </c>
      <c r="G61" s="0" t="s">
        <v>361</v>
      </c>
      <c r="H61" s="0">
        <v>12</v>
      </c>
      <c r="I61" s="0">
        <v>52</v>
      </c>
      <c r="J61" s="0">
        <v>2786</v>
      </c>
    </row>
    <row r="62">
      <c r="A62" s="0" t="s">
        <v>28</v>
      </c>
      <c r="B62" s="0" t="s">
        <v>30</v>
      </c>
      <c r="C62" s="0" t="s">
        <v>182</v>
      </c>
      <c r="D62" s="0" t="s">
        <v>289</v>
      </c>
      <c r="E62" s="0" t="s">
        <v>154</v>
      </c>
      <c r="F62" s="0" t="s">
        <v>340</v>
      </c>
      <c r="G62" s="0" t="s">
        <v>341</v>
      </c>
      <c r="H62" s="0">
        <v>12</v>
      </c>
      <c r="I62" s="0">
        <v>52</v>
      </c>
      <c r="J62" s="0">
        <v>2786</v>
      </c>
    </row>
    <row r="63">
      <c r="A63" s="0" t="s">
        <v>28</v>
      </c>
      <c r="B63" s="0" t="s">
        <v>30</v>
      </c>
      <c r="C63" s="0" t="s">
        <v>182</v>
      </c>
      <c r="D63" s="0" t="s">
        <v>289</v>
      </c>
      <c r="E63" s="0" t="s">
        <v>154</v>
      </c>
      <c r="F63" s="0" t="s">
        <v>342</v>
      </c>
      <c r="G63" s="0" t="s">
        <v>341</v>
      </c>
      <c r="H63" s="0">
        <v>12</v>
      </c>
      <c r="I63" s="0">
        <v>52</v>
      </c>
      <c r="J63" s="0">
        <v>2786</v>
      </c>
    </row>
    <row r="64">
      <c r="A64" s="0" t="s">
        <v>28</v>
      </c>
      <c r="B64" s="0" t="s">
        <v>30</v>
      </c>
      <c r="C64" s="0" t="s">
        <v>182</v>
      </c>
      <c r="D64" s="0" t="s">
        <v>289</v>
      </c>
      <c r="E64" s="0" t="s">
        <v>154</v>
      </c>
      <c r="F64" s="0" t="s">
        <v>343</v>
      </c>
      <c r="G64" s="0" t="s">
        <v>344</v>
      </c>
      <c r="H64" s="0">
        <v>12</v>
      </c>
      <c r="I64" s="0">
        <v>52</v>
      </c>
      <c r="J64" s="0">
        <v>2786</v>
      </c>
    </row>
    <row r="65">
      <c r="A65" s="0" t="s">
        <v>28</v>
      </c>
      <c r="B65" s="0" t="s">
        <v>30</v>
      </c>
      <c r="C65" s="0" t="s">
        <v>182</v>
      </c>
      <c r="D65" s="0" t="s">
        <v>289</v>
      </c>
      <c r="E65" s="0" t="s">
        <v>154</v>
      </c>
      <c r="F65" s="0" t="s">
        <v>345</v>
      </c>
      <c r="G65" s="0" t="s">
        <v>360</v>
      </c>
      <c r="H65" s="0">
        <v>12</v>
      </c>
      <c r="I65" s="0">
        <v>52</v>
      </c>
      <c r="J65" s="0">
        <v>2786</v>
      </c>
    </row>
    <row r="66">
      <c r="A66" s="0" t="s">
        <v>28</v>
      </c>
      <c r="B66" s="0" t="s">
        <v>30</v>
      </c>
      <c r="C66" s="0" t="s">
        <v>182</v>
      </c>
      <c r="D66" s="0" t="s">
        <v>289</v>
      </c>
      <c r="E66" s="0" t="s">
        <v>154</v>
      </c>
      <c r="F66" s="0" t="s">
        <v>346</v>
      </c>
      <c r="G66" s="0" t="s">
        <v>362</v>
      </c>
      <c r="H66" s="0">
        <v>12</v>
      </c>
      <c r="I66" s="0">
        <v>52</v>
      </c>
      <c r="J66" s="0">
        <v>2786</v>
      </c>
    </row>
    <row r="67">
      <c r="A67" s="0" t="s">
        <v>28</v>
      </c>
      <c r="B67" s="0" t="s">
        <v>30</v>
      </c>
      <c r="C67" s="0" t="s">
        <v>182</v>
      </c>
      <c r="D67" s="0" t="s">
        <v>289</v>
      </c>
      <c r="E67" s="0" t="s">
        <v>154</v>
      </c>
      <c r="F67" s="0" t="s">
        <v>348</v>
      </c>
      <c r="G67" s="0" t="s">
        <v>357</v>
      </c>
      <c r="H67" s="0">
        <v>12</v>
      </c>
      <c r="I67" s="0">
        <v>52</v>
      </c>
      <c r="J67" s="0">
        <v>2786</v>
      </c>
    </row>
    <row r="68">
      <c r="A68" s="0" t="s">
        <v>28</v>
      </c>
      <c r="B68" s="0" t="s">
        <v>30</v>
      </c>
      <c r="C68" s="0" t="s">
        <v>182</v>
      </c>
      <c r="D68" s="0" t="s">
        <v>289</v>
      </c>
      <c r="E68" s="0" t="s">
        <v>154</v>
      </c>
      <c r="F68" s="0" t="s">
        <v>350</v>
      </c>
      <c r="G68" s="0" t="s">
        <v>357</v>
      </c>
      <c r="H68" s="0">
        <v>12</v>
      </c>
      <c r="I68" s="0">
        <v>52</v>
      </c>
      <c r="J68" s="0">
        <v>2786</v>
      </c>
    </row>
    <row r="69">
      <c r="A69" s="0" t="s">
        <v>28</v>
      </c>
      <c r="B69" s="0" t="s">
        <v>30</v>
      </c>
      <c r="C69" s="0" t="s">
        <v>184</v>
      </c>
      <c r="D69" s="0" t="s">
        <v>293</v>
      </c>
      <c r="E69" s="0" t="s">
        <v>154</v>
      </c>
      <c r="F69" s="0" t="s">
        <v>327</v>
      </c>
      <c r="G69" s="0" t="s">
        <v>30</v>
      </c>
      <c r="H69" s="0">
        <v>12</v>
      </c>
      <c r="I69" s="0">
        <v>51</v>
      </c>
      <c r="J69" s="0">
        <v>2785</v>
      </c>
    </row>
    <row r="70">
      <c r="A70" s="0" t="s">
        <v>28</v>
      </c>
      <c r="B70" s="0" t="s">
        <v>30</v>
      </c>
      <c r="C70" s="0" t="s">
        <v>184</v>
      </c>
      <c r="D70" s="0" t="s">
        <v>293</v>
      </c>
      <c r="E70" s="0" t="s">
        <v>154</v>
      </c>
      <c r="F70" s="0" t="s">
        <v>328</v>
      </c>
      <c r="G70" s="0" t="s">
        <v>293</v>
      </c>
      <c r="H70" s="0">
        <v>12</v>
      </c>
      <c r="I70" s="0">
        <v>51</v>
      </c>
      <c r="J70" s="0">
        <v>2785</v>
      </c>
    </row>
    <row r="71">
      <c r="A71" s="0" t="s">
        <v>28</v>
      </c>
      <c r="B71" s="0" t="s">
        <v>30</v>
      </c>
      <c r="C71" s="0" t="s">
        <v>184</v>
      </c>
      <c r="D71" s="0" t="s">
        <v>293</v>
      </c>
      <c r="E71" s="0" t="s">
        <v>154</v>
      </c>
      <c r="F71" s="0" t="s">
        <v>329</v>
      </c>
      <c r="G71" s="0" t="s">
        <v>184</v>
      </c>
      <c r="H71" s="0">
        <v>12</v>
      </c>
      <c r="I71" s="0">
        <v>51</v>
      </c>
      <c r="J71" s="0">
        <v>2785</v>
      </c>
    </row>
    <row r="72">
      <c r="A72" s="0" t="s">
        <v>28</v>
      </c>
      <c r="B72" s="0" t="s">
        <v>30</v>
      </c>
      <c r="C72" s="0" t="s">
        <v>184</v>
      </c>
      <c r="D72" s="0" t="s">
        <v>293</v>
      </c>
      <c r="E72" s="0" t="s">
        <v>154</v>
      </c>
      <c r="F72" s="0" t="s">
        <v>330</v>
      </c>
      <c r="G72" s="0" t="s">
        <v>114</v>
      </c>
      <c r="H72" s="0">
        <v>12</v>
      </c>
      <c r="I72" s="0">
        <v>51</v>
      </c>
      <c r="J72" s="0">
        <v>2785</v>
      </c>
    </row>
    <row r="73">
      <c r="A73" s="0" t="s">
        <v>28</v>
      </c>
      <c r="B73" s="0" t="s">
        <v>30</v>
      </c>
      <c r="C73" s="0" t="s">
        <v>184</v>
      </c>
      <c r="D73" s="0" t="s">
        <v>293</v>
      </c>
      <c r="E73" s="0" t="s">
        <v>154</v>
      </c>
      <c r="F73" s="0" t="s">
        <v>331</v>
      </c>
      <c r="G73" s="0" t="s">
        <v>332</v>
      </c>
      <c r="H73" s="0">
        <v>12</v>
      </c>
      <c r="I73" s="0">
        <v>51</v>
      </c>
      <c r="J73" s="0">
        <v>2785</v>
      </c>
    </row>
    <row r="74">
      <c r="A74" s="0" t="s">
        <v>28</v>
      </c>
      <c r="B74" s="0" t="s">
        <v>30</v>
      </c>
      <c r="C74" s="0" t="s">
        <v>184</v>
      </c>
      <c r="D74" s="0" t="s">
        <v>293</v>
      </c>
      <c r="E74" s="0" t="s">
        <v>154</v>
      </c>
      <c r="F74" s="0" t="s">
        <v>333</v>
      </c>
      <c r="G74" s="0" t="s">
        <v>363</v>
      </c>
      <c r="H74" s="0">
        <v>12</v>
      </c>
      <c r="I74" s="0">
        <v>51</v>
      </c>
      <c r="J74" s="0">
        <v>2785</v>
      </c>
    </row>
    <row r="75">
      <c r="A75" s="0" t="s">
        <v>28</v>
      </c>
      <c r="B75" s="0" t="s">
        <v>30</v>
      </c>
      <c r="C75" s="0" t="s">
        <v>184</v>
      </c>
      <c r="D75" s="0" t="s">
        <v>293</v>
      </c>
      <c r="E75" s="0" t="s">
        <v>154</v>
      </c>
      <c r="F75" s="0" t="s">
        <v>333</v>
      </c>
      <c r="G75" s="0" t="s">
        <v>335</v>
      </c>
      <c r="H75" s="0">
        <v>12</v>
      </c>
      <c r="I75" s="0">
        <v>51</v>
      </c>
      <c r="J75" s="0">
        <v>2785</v>
      </c>
    </row>
    <row r="76">
      <c r="A76" s="0" t="s">
        <v>28</v>
      </c>
      <c r="B76" s="0" t="s">
        <v>30</v>
      </c>
      <c r="C76" s="0" t="s">
        <v>184</v>
      </c>
      <c r="D76" s="0" t="s">
        <v>293</v>
      </c>
      <c r="E76" s="0" t="s">
        <v>154</v>
      </c>
      <c r="F76" s="0" t="s">
        <v>336</v>
      </c>
      <c r="G76" s="0" t="s">
        <v>364</v>
      </c>
      <c r="H76" s="0">
        <v>12</v>
      </c>
      <c r="I76" s="0">
        <v>51</v>
      </c>
      <c r="J76" s="0">
        <v>2785</v>
      </c>
    </row>
    <row r="77">
      <c r="A77" s="0" t="s">
        <v>28</v>
      </c>
      <c r="B77" s="0" t="s">
        <v>30</v>
      </c>
      <c r="C77" s="0" t="s">
        <v>184</v>
      </c>
      <c r="D77" s="0" t="s">
        <v>293</v>
      </c>
      <c r="E77" s="0" t="s">
        <v>154</v>
      </c>
      <c r="F77" s="0" t="s">
        <v>338</v>
      </c>
      <c r="G77" s="0" t="s">
        <v>365</v>
      </c>
      <c r="H77" s="0">
        <v>12</v>
      </c>
      <c r="I77" s="0">
        <v>51</v>
      </c>
      <c r="J77" s="0">
        <v>2785</v>
      </c>
    </row>
    <row r="78">
      <c r="A78" s="0" t="s">
        <v>28</v>
      </c>
      <c r="B78" s="0" t="s">
        <v>30</v>
      </c>
      <c r="C78" s="0" t="s">
        <v>184</v>
      </c>
      <c r="D78" s="0" t="s">
        <v>293</v>
      </c>
      <c r="E78" s="0" t="s">
        <v>154</v>
      </c>
      <c r="F78" s="0" t="s">
        <v>340</v>
      </c>
      <c r="G78" s="0" t="s">
        <v>341</v>
      </c>
      <c r="H78" s="0">
        <v>12</v>
      </c>
      <c r="I78" s="0">
        <v>51</v>
      </c>
      <c r="J78" s="0">
        <v>2785</v>
      </c>
    </row>
    <row r="79">
      <c r="A79" s="0" t="s">
        <v>28</v>
      </c>
      <c r="B79" s="0" t="s">
        <v>30</v>
      </c>
      <c r="C79" s="0" t="s">
        <v>184</v>
      </c>
      <c r="D79" s="0" t="s">
        <v>293</v>
      </c>
      <c r="E79" s="0" t="s">
        <v>154</v>
      </c>
      <c r="F79" s="0" t="s">
        <v>342</v>
      </c>
      <c r="G79" s="0" t="s">
        <v>341</v>
      </c>
      <c r="H79" s="0">
        <v>12</v>
      </c>
      <c r="I79" s="0">
        <v>51</v>
      </c>
      <c r="J79" s="0">
        <v>2785</v>
      </c>
    </row>
    <row r="80">
      <c r="A80" s="0" t="s">
        <v>28</v>
      </c>
      <c r="B80" s="0" t="s">
        <v>30</v>
      </c>
      <c r="C80" s="0" t="s">
        <v>184</v>
      </c>
      <c r="D80" s="0" t="s">
        <v>293</v>
      </c>
      <c r="E80" s="0" t="s">
        <v>154</v>
      </c>
      <c r="F80" s="0" t="s">
        <v>343</v>
      </c>
      <c r="G80" s="0" t="s">
        <v>344</v>
      </c>
      <c r="H80" s="0">
        <v>12</v>
      </c>
      <c r="I80" s="0">
        <v>51</v>
      </c>
      <c r="J80" s="0">
        <v>2785</v>
      </c>
    </row>
    <row r="81">
      <c r="A81" s="0" t="s">
        <v>28</v>
      </c>
      <c r="B81" s="0" t="s">
        <v>30</v>
      </c>
      <c r="C81" s="0" t="s">
        <v>184</v>
      </c>
      <c r="D81" s="0" t="s">
        <v>293</v>
      </c>
      <c r="E81" s="0" t="s">
        <v>154</v>
      </c>
      <c r="F81" s="0" t="s">
        <v>345</v>
      </c>
      <c r="G81" s="0" t="s">
        <v>364</v>
      </c>
      <c r="H81" s="0">
        <v>12</v>
      </c>
      <c r="I81" s="0">
        <v>51</v>
      </c>
      <c r="J81" s="0">
        <v>2785</v>
      </c>
    </row>
    <row r="82">
      <c r="A82" s="0" t="s">
        <v>28</v>
      </c>
      <c r="B82" s="0" t="s">
        <v>30</v>
      </c>
      <c r="C82" s="0" t="s">
        <v>184</v>
      </c>
      <c r="D82" s="0" t="s">
        <v>293</v>
      </c>
      <c r="E82" s="0" t="s">
        <v>154</v>
      </c>
      <c r="F82" s="0" t="s">
        <v>346</v>
      </c>
      <c r="G82" s="0" t="s">
        <v>366</v>
      </c>
      <c r="H82" s="0">
        <v>12</v>
      </c>
      <c r="I82" s="0">
        <v>51</v>
      </c>
      <c r="J82" s="0">
        <v>2785</v>
      </c>
    </row>
    <row r="83">
      <c r="A83" s="0" t="s">
        <v>28</v>
      </c>
      <c r="B83" s="0" t="s">
        <v>30</v>
      </c>
      <c r="C83" s="0" t="s">
        <v>184</v>
      </c>
      <c r="D83" s="0" t="s">
        <v>293</v>
      </c>
      <c r="E83" s="0" t="s">
        <v>154</v>
      </c>
      <c r="F83" s="0" t="s">
        <v>348</v>
      </c>
      <c r="G83" s="0" t="s">
        <v>357</v>
      </c>
      <c r="H83" s="0">
        <v>12</v>
      </c>
      <c r="I83" s="0">
        <v>51</v>
      </c>
      <c r="J83" s="0">
        <v>2785</v>
      </c>
    </row>
    <row r="84">
      <c r="A84" s="0" t="s">
        <v>28</v>
      </c>
      <c r="B84" s="0" t="s">
        <v>30</v>
      </c>
      <c r="C84" s="0" t="s">
        <v>184</v>
      </c>
      <c r="D84" s="0" t="s">
        <v>293</v>
      </c>
      <c r="E84" s="0" t="s">
        <v>154</v>
      </c>
      <c r="F84" s="0" t="s">
        <v>350</v>
      </c>
      <c r="G84" s="0" t="s">
        <v>357</v>
      </c>
      <c r="H84" s="0">
        <v>12</v>
      </c>
      <c r="I84" s="0">
        <v>51</v>
      </c>
      <c r="J84" s="0">
        <v>2785</v>
      </c>
    </row>
    <row r="85">
      <c r="A85" s="0" t="s">
        <v>28</v>
      </c>
      <c r="B85" s="0" t="s">
        <v>30</v>
      </c>
      <c r="C85" s="0" t="s">
        <v>186</v>
      </c>
      <c r="D85" s="0" t="s">
        <v>297</v>
      </c>
      <c r="E85" s="0" t="s">
        <v>154</v>
      </c>
      <c r="F85" s="0" t="s">
        <v>327</v>
      </c>
      <c r="G85" s="0" t="s">
        <v>30</v>
      </c>
      <c r="H85" s="0">
        <v>12</v>
      </c>
      <c r="I85" s="0">
        <v>54</v>
      </c>
      <c r="J85" s="0">
        <v>2781</v>
      </c>
    </row>
    <row r="86">
      <c r="A86" s="0" t="s">
        <v>28</v>
      </c>
      <c r="B86" s="0" t="s">
        <v>30</v>
      </c>
      <c r="C86" s="0" t="s">
        <v>186</v>
      </c>
      <c r="D86" s="0" t="s">
        <v>297</v>
      </c>
      <c r="E86" s="0" t="s">
        <v>154</v>
      </c>
      <c r="F86" s="0" t="s">
        <v>328</v>
      </c>
      <c r="G86" s="0" t="s">
        <v>297</v>
      </c>
      <c r="H86" s="0">
        <v>12</v>
      </c>
      <c r="I86" s="0">
        <v>54</v>
      </c>
      <c r="J86" s="0">
        <v>2781</v>
      </c>
    </row>
    <row r="87">
      <c r="A87" s="0" t="s">
        <v>28</v>
      </c>
      <c r="B87" s="0" t="s">
        <v>30</v>
      </c>
      <c r="C87" s="0" t="s">
        <v>186</v>
      </c>
      <c r="D87" s="0" t="s">
        <v>297</v>
      </c>
      <c r="E87" s="0" t="s">
        <v>154</v>
      </c>
      <c r="F87" s="0" t="s">
        <v>329</v>
      </c>
      <c r="G87" s="0" t="s">
        <v>186</v>
      </c>
      <c r="H87" s="0">
        <v>12</v>
      </c>
      <c r="I87" s="0">
        <v>54</v>
      </c>
      <c r="J87" s="0">
        <v>2781</v>
      </c>
    </row>
    <row r="88">
      <c r="A88" s="0" t="s">
        <v>28</v>
      </c>
      <c r="B88" s="0" t="s">
        <v>30</v>
      </c>
      <c r="C88" s="0" t="s">
        <v>186</v>
      </c>
      <c r="D88" s="0" t="s">
        <v>297</v>
      </c>
      <c r="E88" s="0" t="s">
        <v>154</v>
      </c>
      <c r="F88" s="0" t="s">
        <v>330</v>
      </c>
      <c r="G88" s="0" t="s">
        <v>114</v>
      </c>
      <c r="H88" s="0">
        <v>12</v>
      </c>
      <c r="I88" s="0">
        <v>54</v>
      </c>
      <c r="J88" s="0">
        <v>2781</v>
      </c>
    </row>
    <row r="89">
      <c r="A89" s="0" t="s">
        <v>28</v>
      </c>
      <c r="B89" s="0" t="s">
        <v>30</v>
      </c>
      <c r="C89" s="0" t="s">
        <v>186</v>
      </c>
      <c r="D89" s="0" t="s">
        <v>297</v>
      </c>
      <c r="E89" s="0" t="s">
        <v>154</v>
      </c>
      <c r="F89" s="0" t="s">
        <v>367</v>
      </c>
      <c r="G89" s="0" t="s">
        <v>368</v>
      </c>
      <c r="H89" s="0">
        <v>12</v>
      </c>
      <c r="I89" s="0">
        <v>54</v>
      </c>
      <c r="J89" s="0">
        <v>2781</v>
      </c>
    </row>
    <row r="90">
      <c r="A90" s="0" t="s">
        <v>28</v>
      </c>
      <c r="B90" s="0" t="s">
        <v>30</v>
      </c>
      <c r="C90" s="0" t="s">
        <v>186</v>
      </c>
      <c r="D90" s="0" t="s">
        <v>297</v>
      </c>
      <c r="E90" s="0" t="s">
        <v>154</v>
      </c>
      <c r="F90" s="0" t="s">
        <v>369</v>
      </c>
      <c r="G90" s="0" t="s">
        <v>370</v>
      </c>
      <c r="H90" s="0">
        <v>12</v>
      </c>
      <c r="I90" s="0">
        <v>54</v>
      </c>
      <c r="J90" s="0">
        <v>2781</v>
      </c>
    </row>
    <row r="91">
      <c r="A91" s="0" t="s">
        <v>28</v>
      </c>
      <c r="B91" s="0" t="s">
        <v>30</v>
      </c>
      <c r="C91" s="0" t="s">
        <v>186</v>
      </c>
      <c r="D91" s="0" t="s">
        <v>297</v>
      </c>
      <c r="E91" s="0" t="s">
        <v>154</v>
      </c>
      <c r="F91" s="0" t="s">
        <v>331</v>
      </c>
      <c r="G91" s="0" t="s">
        <v>332</v>
      </c>
      <c r="H91" s="0">
        <v>12</v>
      </c>
      <c r="I91" s="0">
        <v>54</v>
      </c>
      <c r="J91" s="0">
        <v>2781</v>
      </c>
    </row>
    <row r="92">
      <c r="A92" s="0" t="s">
        <v>28</v>
      </c>
      <c r="B92" s="0" t="s">
        <v>30</v>
      </c>
      <c r="C92" s="0" t="s">
        <v>186</v>
      </c>
      <c r="D92" s="0" t="s">
        <v>297</v>
      </c>
      <c r="E92" s="0" t="s">
        <v>154</v>
      </c>
      <c r="F92" s="0" t="s">
        <v>333</v>
      </c>
      <c r="G92" s="0" t="s">
        <v>371</v>
      </c>
      <c r="H92" s="0">
        <v>12</v>
      </c>
      <c r="I92" s="0">
        <v>54</v>
      </c>
      <c r="J92" s="0">
        <v>2781</v>
      </c>
    </row>
    <row r="93">
      <c r="A93" s="0" t="s">
        <v>28</v>
      </c>
      <c r="B93" s="0" t="s">
        <v>30</v>
      </c>
      <c r="C93" s="0" t="s">
        <v>186</v>
      </c>
      <c r="D93" s="0" t="s">
        <v>297</v>
      </c>
      <c r="E93" s="0" t="s">
        <v>154</v>
      </c>
      <c r="F93" s="0" t="s">
        <v>333</v>
      </c>
      <c r="G93" s="0" t="s">
        <v>335</v>
      </c>
      <c r="H93" s="0">
        <v>12</v>
      </c>
      <c r="I93" s="0">
        <v>54</v>
      </c>
      <c r="J93" s="0">
        <v>2781</v>
      </c>
    </row>
    <row r="94">
      <c r="A94" s="0" t="s">
        <v>28</v>
      </c>
      <c r="B94" s="0" t="s">
        <v>30</v>
      </c>
      <c r="C94" s="0" t="s">
        <v>186</v>
      </c>
      <c r="D94" s="0" t="s">
        <v>297</v>
      </c>
      <c r="E94" s="0" t="s">
        <v>154</v>
      </c>
      <c r="F94" s="0" t="s">
        <v>372</v>
      </c>
      <c r="G94" s="0" t="s">
        <v>341</v>
      </c>
      <c r="H94" s="0">
        <v>12</v>
      </c>
      <c r="I94" s="0">
        <v>54</v>
      </c>
      <c r="J94" s="0">
        <v>2781</v>
      </c>
    </row>
    <row r="95">
      <c r="A95" s="0" t="s">
        <v>28</v>
      </c>
      <c r="B95" s="0" t="s">
        <v>30</v>
      </c>
      <c r="C95" s="0" t="s">
        <v>186</v>
      </c>
      <c r="D95" s="0" t="s">
        <v>297</v>
      </c>
      <c r="E95" s="0" t="s">
        <v>154</v>
      </c>
      <c r="F95" s="0" t="s">
        <v>373</v>
      </c>
      <c r="G95" s="0" t="s">
        <v>341</v>
      </c>
      <c r="H95" s="0">
        <v>12</v>
      </c>
      <c r="I95" s="0">
        <v>54</v>
      </c>
      <c r="J95" s="0">
        <v>2781</v>
      </c>
    </row>
    <row r="96">
      <c r="A96" s="0" t="s">
        <v>28</v>
      </c>
      <c r="B96" s="0" t="s">
        <v>30</v>
      </c>
      <c r="C96" s="0" t="s">
        <v>186</v>
      </c>
      <c r="D96" s="0" t="s">
        <v>297</v>
      </c>
      <c r="E96" s="0" t="s">
        <v>154</v>
      </c>
      <c r="F96" s="0" t="s">
        <v>374</v>
      </c>
      <c r="G96" s="0" t="s">
        <v>114</v>
      </c>
      <c r="H96" s="0">
        <v>12</v>
      </c>
      <c r="I96" s="0">
        <v>54</v>
      </c>
      <c r="J96" s="0">
        <v>2781</v>
      </c>
    </row>
    <row r="97">
      <c r="A97" s="0" t="s">
        <v>28</v>
      </c>
      <c r="B97" s="0" t="s">
        <v>30</v>
      </c>
      <c r="C97" s="0" t="s">
        <v>186</v>
      </c>
      <c r="D97" s="0" t="s">
        <v>297</v>
      </c>
      <c r="E97" s="0" t="s">
        <v>154</v>
      </c>
      <c r="F97" s="0" t="s">
        <v>375</v>
      </c>
      <c r="G97" s="0" t="s">
        <v>376</v>
      </c>
      <c r="H97" s="0">
        <v>12</v>
      </c>
      <c r="I97" s="0">
        <v>54</v>
      </c>
      <c r="J97" s="0">
        <v>2781</v>
      </c>
    </row>
    <row r="98">
      <c r="A98" s="0" t="s">
        <v>28</v>
      </c>
      <c r="B98" s="0" t="s">
        <v>30</v>
      </c>
      <c r="C98" s="0" t="s">
        <v>186</v>
      </c>
      <c r="D98" s="0" t="s">
        <v>297</v>
      </c>
      <c r="E98" s="0" t="s">
        <v>154</v>
      </c>
      <c r="F98" s="0" t="s">
        <v>377</v>
      </c>
      <c r="G98" s="0" t="s">
        <v>378</v>
      </c>
      <c r="H98" s="0">
        <v>12</v>
      </c>
      <c r="I98" s="0">
        <v>54</v>
      </c>
      <c r="J98" s="0">
        <v>2781</v>
      </c>
    </row>
    <row r="99">
      <c r="A99" s="0" t="s">
        <v>28</v>
      </c>
      <c r="B99" s="0" t="s">
        <v>30</v>
      </c>
      <c r="C99" s="0" t="s">
        <v>186</v>
      </c>
      <c r="D99" s="0" t="s">
        <v>297</v>
      </c>
      <c r="E99" s="0" t="s">
        <v>154</v>
      </c>
      <c r="F99" s="0" t="s">
        <v>336</v>
      </c>
      <c r="G99" s="0" t="s">
        <v>379</v>
      </c>
      <c r="H99" s="0">
        <v>12</v>
      </c>
      <c r="I99" s="0">
        <v>54</v>
      </c>
      <c r="J99" s="0">
        <v>2781</v>
      </c>
    </row>
    <row r="100">
      <c r="A100" s="0" t="s">
        <v>28</v>
      </c>
      <c r="B100" s="0" t="s">
        <v>30</v>
      </c>
      <c r="C100" s="0" t="s">
        <v>186</v>
      </c>
      <c r="D100" s="0" t="s">
        <v>297</v>
      </c>
      <c r="E100" s="0" t="s">
        <v>154</v>
      </c>
      <c r="F100" s="0" t="s">
        <v>338</v>
      </c>
      <c r="G100" s="0" t="s">
        <v>380</v>
      </c>
      <c r="H100" s="0">
        <v>12</v>
      </c>
      <c r="I100" s="0">
        <v>54</v>
      </c>
      <c r="J100" s="0">
        <v>2781</v>
      </c>
    </row>
    <row r="101">
      <c r="A101" s="0" t="s">
        <v>28</v>
      </c>
      <c r="B101" s="0" t="s">
        <v>30</v>
      </c>
      <c r="C101" s="0" t="s">
        <v>186</v>
      </c>
      <c r="D101" s="0" t="s">
        <v>297</v>
      </c>
      <c r="E101" s="0" t="s">
        <v>154</v>
      </c>
      <c r="F101" s="0" t="s">
        <v>381</v>
      </c>
      <c r="G101" s="0" t="s">
        <v>382</v>
      </c>
      <c r="H101" s="0">
        <v>12</v>
      </c>
      <c r="I101" s="0">
        <v>54</v>
      </c>
      <c r="J101" s="0">
        <v>2781</v>
      </c>
    </row>
    <row r="102">
      <c r="A102" s="0" t="s">
        <v>28</v>
      </c>
      <c r="B102" s="0" t="s">
        <v>30</v>
      </c>
      <c r="C102" s="0" t="s">
        <v>186</v>
      </c>
      <c r="D102" s="0" t="s">
        <v>297</v>
      </c>
      <c r="E102" s="0" t="s">
        <v>154</v>
      </c>
      <c r="F102" s="0" t="s">
        <v>340</v>
      </c>
      <c r="G102" s="0" t="s">
        <v>341</v>
      </c>
      <c r="H102" s="0">
        <v>12</v>
      </c>
      <c r="I102" s="0">
        <v>54</v>
      </c>
      <c r="J102" s="0">
        <v>2781</v>
      </c>
    </row>
    <row r="103">
      <c r="A103" s="0" t="s">
        <v>28</v>
      </c>
      <c r="B103" s="0" t="s">
        <v>30</v>
      </c>
      <c r="C103" s="0" t="s">
        <v>186</v>
      </c>
      <c r="D103" s="0" t="s">
        <v>297</v>
      </c>
      <c r="E103" s="0" t="s">
        <v>154</v>
      </c>
      <c r="F103" s="0" t="s">
        <v>342</v>
      </c>
      <c r="G103" s="0" t="s">
        <v>341</v>
      </c>
      <c r="H103" s="0">
        <v>12</v>
      </c>
      <c r="I103" s="0">
        <v>54</v>
      </c>
      <c r="J103" s="0">
        <v>2781</v>
      </c>
    </row>
    <row r="104">
      <c r="A104" s="0" t="s">
        <v>28</v>
      </c>
      <c r="B104" s="0" t="s">
        <v>30</v>
      </c>
      <c r="C104" s="0" t="s">
        <v>186</v>
      </c>
      <c r="D104" s="0" t="s">
        <v>297</v>
      </c>
      <c r="E104" s="0" t="s">
        <v>154</v>
      </c>
      <c r="F104" s="0" t="s">
        <v>343</v>
      </c>
      <c r="G104" s="0" t="s">
        <v>344</v>
      </c>
      <c r="H104" s="0">
        <v>12</v>
      </c>
      <c r="I104" s="0">
        <v>54</v>
      </c>
      <c r="J104" s="0">
        <v>2781</v>
      </c>
    </row>
    <row r="105">
      <c r="A105" s="0" t="s">
        <v>28</v>
      </c>
      <c r="B105" s="0" t="s">
        <v>30</v>
      </c>
      <c r="C105" s="0" t="s">
        <v>186</v>
      </c>
      <c r="D105" s="0" t="s">
        <v>297</v>
      </c>
      <c r="E105" s="0" t="s">
        <v>154</v>
      </c>
      <c r="F105" s="0" t="s">
        <v>345</v>
      </c>
      <c r="G105" s="0" t="s">
        <v>379</v>
      </c>
      <c r="H105" s="0">
        <v>12</v>
      </c>
      <c r="I105" s="0">
        <v>54</v>
      </c>
      <c r="J105" s="0">
        <v>2781</v>
      </c>
    </row>
    <row r="106">
      <c r="A106" s="0" t="s">
        <v>28</v>
      </c>
      <c r="B106" s="0" t="s">
        <v>30</v>
      </c>
      <c r="C106" s="0" t="s">
        <v>186</v>
      </c>
      <c r="D106" s="0" t="s">
        <v>297</v>
      </c>
      <c r="E106" s="0" t="s">
        <v>154</v>
      </c>
      <c r="F106" s="0" t="s">
        <v>383</v>
      </c>
      <c r="G106" s="0" t="s">
        <v>114</v>
      </c>
      <c r="H106" s="0">
        <v>12</v>
      </c>
      <c r="I106" s="0">
        <v>54</v>
      </c>
      <c r="J106" s="0">
        <v>2781</v>
      </c>
    </row>
    <row r="107">
      <c r="A107" s="0" t="s">
        <v>28</v>
      </c>
      <c r="B107" s="0" t="s">
        <v>30</v>
      </c>
      <c r="C107" s="0" t="s">
        <v>186</v>
      </c>
      <c r="D107" s="0" t="s">
        <v>297</v>
      </c>
      <c r="E107" s="0" t="s">
        <v>154</v>
      </c>
      <c r="F107" s="0" t="s">
        <v>346</v>
      </c>
      <c r="G107" s="0" t="s">
        <v>384</v>
      </c>
      <c r="H107" s="0">
        <v>12</v>
      </c>
      <c r="I107" s="0">
        <v>54</v>
      </c>
      <c r="J107" s="0">
        <v>2781</v>
      </c>
    </row>
    <row r="108">
      <c r="A108" s="0" t="s">
        <v>28</v>
      </c>
      <c r="B108" s="0" t="s">
        <v>30</v>
      </c>
      <c r="C108" s="0" t="s">
        <v>186</v>
      </c>
      <c r="D108" s="0" t="s">
        <v>297</v>
      </c>
      <c r="E108" s="0" t="s">
        <v>154</v>
      </c>
      <c r="F108" s="0" t="s">
        <v>348</v>
      </c>
      <c r="G108" s="0" t="s">
        <v>357</v>
      </c>
      <c r="H108" s="0">
        <v>12</v>
      </c>
      <c r="I108" s="0">
        <v>54</v>
      </c>
      <c r="J108" s="0">
        <v>2781</v>
      </c>
    </row>
    <row r="109">
      <c r="A109" s="0" t="s">
        <v>28</v>
      </c>
      <c r="B109" s="0" t="s">
        <v>30</v>
      </c>
      <c r="C109" s="0" t="s">
        <v>186</v>
      </c>
      <c r="D109" s="0" t="s">
        <v>297</v>
      </c>
      <c r="E109" s="0" t="s">
        <v>154</v>
      </c>
      <c r="F109" s="0" t="s">
        <v>350</v>
      </c>
      <c r="G109" s="0" t="s">
        <v>357</v>
      </c>
      <c r="H109" s="0">
        <v>12</v>
      </c>
      <c r="I109" s="0">
        <v>54</v>
      </c>
      <c r="J109" s="0">
        <v>2781</v>
      </c>
    </row>
    <row r="110">
      <c r="A110" s="0" t="s">
        <v>28</v>
      </c>
      <c r="B110" s="0" t="s">
        <v>30</v>
      </c>
      <c r="C110" s="0" t="s">
        <v>186</v>
      </c>
      <c r="D110" s="0" t="s">
        <v>297</v>
      </c>
      <c r="E110" s="0" t="s">
        <v>154</v>
      </c>
      <c r="F110" s="0" t="s">
        <v>385</v>
      </c>
      <c r="G110" s="0" t="s">
        <v>114</v>
      </c>
      <c r="H110" s="0">
        <v>12</v>
      </c>
      <c r="I110" s="0">
        <v>54</v>
      </c>
      <c r="J110" s="0">
        <v>2781</v>
      </c>
    </row>
    <row r="111">
      <c r="A111" s="0" t="s">
        <v>28</v>
      </c>
      <c r="B111" s="0" t="s">
        <v>30</v>
      </c>
      <c r="C111" s="0" t="s">
        <v>186</v>
      </c>
      <c r="D111" s="0" t="s">
        <v>297</v>
      </c>
      <c r="E111" s="0" t="s">
        <v>154</v>
      </c>
      <c r="F111" s="0" t="s">
        <v>386</v>
      </c>
      <c r="G111" s="0" t="s">
        <v>387</v>
      </c>
      <c r="H111" s="0">
        <v>12</v>
      </c>
      <c r="I111" s="0">
        <v>54</v>
      </c>
      <c r="J111" s="0">
        <v>2781</v>
      </c>
    </row>
    <row r="112">
      <c r="A112" s="0" t="s">
        <v>28</v>
      </c>
      <c r="B112" s="0" t="s">
        <v>30</v>
      </c>
      <c r="C112" s="0" t="s">
        <v>186</v>
      </c>
      <c r="D112" s="0" t="s">
        <v>297</v>
      </c>
      <c r="E112" s="0" t="s">
        <v>154</v>
      </c>
      <c r="F112" s="0" t="s">
        <v>388</v>
      </c>
      <c r="G112" s="0" t="s">
        <v>389</v>
      </c>
      <c r="H112" s="0">
        <v>12</v>
      </c>
      <c r="I112" s="0">
        <v>54</v>
      </c>
      <c r="J112" s="0">
        <v>2781</v>
      </c>
    </row>
    <row r="113">
      <c r="A113" s="0" t="s">
        <v>28</v>
      </c>
      <c r="B113" s="0" t="s">
        <v>30</v>
      </c>
      <c r="C113" s="0" t="s">
        <v>186</v>
      </c>
      <c r="D113" s="0" t="s">
        <v>297</v>
      </c>
      <c r="E113" s="0" t="s">
        <v>154</v>
      </c>
      <c r="F113" s="0" t="s">
        <v>388</v>
      </c>
      <c r="G113" s="0" t="s">
        <v>390</v>
      </c>
      <c r="H113" s="0">
        <v>12</v>
      </c>
      <c r="I113" s="0">
        <v>54</v>
      </c>
      <c r="J113" s="0">
        <v>2781</v>
      </c>
    </row>
    <row r="114">
      <c r="A114" s="0" t="s">
        <v>28</v>
      </c>
      <c r="B114" s="0" t="s">
        <v>30</v>
      </c>
      <c r="C114" s="0" t="s">
        <v>188</v>
      </c>
      <c r="D114" s="0" t="s">
        <v>302</v>
      </c>
      <c r="E114" s="0" t="s">
        <v>154</v>
      </c>
      <c r="F114" s="0" t="s">
        <v>327</v>
      </c>
      <c r="G114" s="0" t="s">
        <v>30</v>
      </c>
      <c r="H114" s="0">
        <v>12</v>
      </c>
      <c r="I114" s="0">
        <v>53</v>
      </c>
      <c r="J114" s="0">
        <v>2780</v>
      </c>
    </row>
    <row r="115">
      <c r="A115" s="0" t="s">
        <v>28</v>
      </c>
      <c r="B115" s="0" t="s">
        <v>30</v>
      </c>
      <c r="C115" s="0" t="s">
        <v>188</v>
      </c>
      <c r="D115" s="0" t="s">
        <v>302</v>
      </c>
      <c r="E115" s="0" t="s">
        <v>154</v>
      </c>
      <c r="F115" s="0" t="s">
        <v>328</v>
      </c>
      <c r="G115" s="0" t="s">
        <v>302</v>
      </c>
      <c r="H115" s="0">
        <v>12</v>
      </c>
      <c r="I115" s="0">
        <v>53</v>
      </c>
      <c r="J115" s="0">
        <v>2780</v>
      </c>
    </row>
    <row r="116">
      <c r="A116" s="0" t="s">
        <v>28</v>
      </c>
      <c r="B116" s="0" t="s">
        <v>30</v>
      </c>
      <c r="C116" s="0" t="s">
        <v>188</v>
      </c>
      <c r="D116" s="0" t="s">
        <v>302</v>
      </c>
      <c r="E116" s="0" t="s">
        <v>154</v>
      </c>
      <c r="F116" s="0" t="s">
        <v>329</v>
      </c>
      <c r="G116" s="0" t="s">
        <v>188</v>
      </c>
      <c r="H116" s="0">
        <v>12</v>
      </c>
      <c r="I116" s="0">
        <v>53</v>
      </c>
      <c r="J116" s="0">
        <v>2780</v>
      </c>
    </row>
    <row r="117">
      <c r="A117" s="0" t="s">
        <v>28</v>
      </c>
      <c r="B117" s="0" t="s">
        <v>30</v>
      </c>
      <c r="C117" s="0" t="s">
        <v>188</v>
      </c>
      <c r="D117" s="0" t="s">
        <v>302</v>
      </c>
      <c r="E117" s="0" t="s">
        <v>154</v>
      </c>
      <c r="F117" s="0" t="s">
        <v>330</v>
      </c>
      <c r="G117" s="0" t="s">
        <v>114</v>
      </c>
      <c r="H117" s="0">
        <v>12</v>
      </c>
      <c r="I117" s="0">
        <v>53</v>
      </c>
      <c r="J117" s="0">
        <v>2780</v>
      </c>
    </row>
    <row r="118">
      <c r="A118" s="0" t="s">
        <v>28</v>
      </c>
      <c r="B118" s="0" t="s">
        <v>30</v>
      </c>
      <c r="C118" s="0" t="s">
        <v>188</v>
      </c>
      <c r="D118" s="0" t="s">
        <v>302</v>
      </c>
      <c r="E118" s="0" t="s">
        <v>154</v>
      </c>
      <c r="F118" s="0" t="s">
        <v>331</v>
      </c>
      <c r="G118" s="0" t="s">
        <v>332</v>
      </c>
      <c r="H118" s="0">
        <v>12</v>
      </c>
      <c r="I118" s="0">
        <v>53</v>
      </c>
      <c r="J118" s="0">
        <v>2780</v>
      </c>
    </row>
    <row r="119">
      <c r="A119" s="0" t="s">
        <v>28</v>
      </c>
      <c r="B119" s="0" t="s">
        <v>30</v>
      </c>
      <c r="C119" s="0" t="s">
        <v>188</v>
      </c>
      <c r="D119" s="0" t="s">
        <v>302</v>
      </c>
      <c r="E119" s="0" t="s">
        <v>154</v>
      </c>
      <c r="F119" s="0" t="s">
        <v>333</v>
      </c>
      <c r="G119" s="0" t="s">
        <v>371</v>
      </c>
      <c r="H119" s="0">
        <v>12</v>
      </c>
      <c r="I119" s="0">
        <v>53</v>
      </c>
      <c r="J119" s="0">
        <v>2780</v>
      </c>
    </row>
    <row r="120">
      <c r="A120" s="0" t="s">
        <v>28</v>
      </c>
      <c r="B120" s="0" t="s">
        <v>30</v>
      </c>
      <c r="C120" s="0" t="s">
        <v>188</v>
      </c>
      <c r="D120" s="0" t="s">
        <v>302</v>
      </c>
      <c r="E120" s="0" t="s">
        <v>154</v>
      </c>
      <c r="F120" s="0" t="s">
        <v>333</v>
      </c>
      <c r="G120" s="0" t="s">
        <v>335</v>
      </c>
      <c r="H120" s="0">
        <v>12</v>
      </c>
      <c r="I120" s="0">
        <v>53</v>
      </c>
      <c r="J120" s="0">
        <v>2780</v>
      </c>
    </row>
    <row r="121">
      <c r="A121" s="0" t="s">
        <v>28</v>
      </c>
      <c r="B121" s="0" t="s">
        <v>30</v>
      </c>
      <c r="C121" s="0" t="s">
        <v>188</v>
      </c>
      <c r="D121" s="0" t="s">
        <v>302</v>
      </c>
      <c r="E121" s="0" t="s">
        <v>154</v>
      </c>
      <c r="F121" s="0" t="s">
        <v>336</v>
      </c>
      <c r="G121" s="0" t="s">
        <v>379</v>
      </c>
      <c r="H121" s="0">
        <v>12</v>
      </c>
      <c r="I121" s="0">
        <v>53</v>
      </c>
      <c r="J121" s="0">
        <v>2780</v>
      </c>
    </row>
    <row r="122">
      <c r="A122" s="0" t="s">
        <v>28</v>
      </c>
      <c r="B122" s="0" t="s">
        <v>30</v>
      </c>
      <c r="C122" s="0" t="s">
        <v>188</v>
      </c>
      <c r="D122" s="0" t="s">
        <v>302</v>
      </c>
      <c r="E122" s="0" t="s">
        <v>154</v>
      </c>
      <c r="F122" s="0" t="s">
        <v>338</v>
      </c>
      <c r="G122" s="0" t="s">
        <v>391</v>
      </c>
      <c r="H122" s="0">
        <v>12</v>
      </c>
      <c r="I122" s="0">
        <v>53</v>
      </c>
      <c r="J122" s="0">
        <v>2780</v>
      </c>
    </row>
    <row r="123">
      <c r="A123" s="0" t="s">
        <v>28</v>
      </c>
      <c r="B123" s="0" t="s">
        <v>30</v>
      </c>
      <c r="C123" s="0" t="s">
        <v>188</v>
      </c>
      <c r="D123" s="0" t="s">
        <v>302</v>
      </c>
      <c r="E123" s="0" t="s">
        <v>154</v>
      </c>
      <c r="F123" s="0" t="s">
        <v>340</v>
      </c>
      <c r="G123" s="0" t="s">
        <v>341</v>
      </c>
      <c r="H123" s="0">
        <v>12</v>
      </c>
      <c r="I123" s="0">
        <v>53</v>
      </c>
      <c r="J123" s="0">
        <v>2780</v>
      </c>
    </row>
    <row r="124">
      <c r="A124" s="0" t="s">
        <v>28</v>
      </c>
      <c r="B124" s="0" t="s">
        <v>30</v>
      </c>
      <c r="C124" s="0" t="s">
        <v>188</v>
      </c>
      <c r="D124" s="0" t="s">
        <v>302</v>
      </c>
      <c r="E124" s="0" t="s">
        <v>154</v>
      </c>
      <c r="F124" s="0" t="s">
        <v>342</v>
      </c>
      <c r="G124" s="0" t="s">
        <v>341</v>
      </c>
      <c r="H124" s="0">
        <v>12</v>
      </c>
      <c r="I124" s="0">
        <v>53</v>
      </c>
      <c r="J124" s="0">
        <v>2780</v>
      </c>
    </row>
    <row r="125">
      <c r="A125" s="0" t="s">
        <v>28</v>
      </c>
      <c r="B125" s="0" t="s">
        <v>30</v>
      </c>
      <c r="C125" s="0" t="s">
        <v>188</v>
      </c>
      <c r="D125" s="0" t="s">
        <v>302</v>
      </c>
      <c r="E125" s="0" t="s">
        <v>154</v>
      </c>
      <c r="F125" s="0" t="s">
        <v>343</v>
      </c>
      <c r="G125" s="0" t="s">
        <v>344</v>
      </c>
      <c r="H125" s="0">
        <v>12</v>
      </c>
      <c r="I125" s="0">
        <v>53</v>
      </c>
      <c r="J125" s="0">
        <v>2780</v>
      </c>
    </row>
    <row r="126">
      <c r="A126" s="0" t="s">
        <v>28</v>
      </c>
      <c r="B126" s="0" t="s">
        <v>30</v>
      </c>
      <c r="C126" s="0" t="s">
        <v>188</v>
      </c>
      <c r="D126" s="0" t="s">
        <v>302</v>
      </c>
      <c r="E126" s="0" t="s">
        <v>154</v>
      </c>
      <c r="F126" s="0" t="s">
        <v>345</v>
      </c>
      <c r="G126" s="0" t="s">
        <v>379</v>
      </c>
      <c r="H126" s="0">
        <v>12</v>
      </c>
      <c r="I126" s="0">
        <v>53</v>
      </c>
      <c r="J126" s="0">
        <v>2780</v>
      </c>
    </row>
    <row r="127">
      <c r="A127" s="0" t="s">
        <v>28</v>
      </c>
      <c r="B127" s="0" t="s">
        <v>30</v>
      </c>
      <c r="C127" s="0" t="s">
        <v>188</v>
      </c>
      <c r="D127" s="0" t="s">
        <v>302</v>
      </c>
      <c r="E127" s="0" t="s">
        <v>154</v>
      </c>
      <c r="F127" s="0" t="s">
        <v>346</v>
      </c>
      <c r="G127" s="0" t="s">
        <v>392</v>
      </c>
      <c r="H127" s="0">
        <v>12</v>
      </c>
      <c r="I127" s="0">
        <v>53</v>
      </c>
      <c r="J127" s="0">
        <v>2780</v>
      </c>
    </row>
    <row r="128">
      <c r="A128" s="0" t="s">
        <v>28</v>
      </c>
      <c r="B128" s="0" t="s">
        <v>30</v>
      </c>
      <c r="C128" s="0" t="s">
        <v>188</v>
      </c>
      <c r="D128" s="0" t="s">
        <v>302</v>
      </c>
      <c r="E128" s="0" t="s">
        <v>154</v>
      </c>
      <c r="F128" s="0" t="s">
        <v>348</v>
      </c>
      <c r="G128" s="0" t="s">
        <v>358</v>
      </c>
      <c r="H128" s="0">
        <v>12</v>
      </c>
      <c r="I128" s="0">
        <v>53</v>
      </c>
      <c r="J128" s="0">
        <v>2780</v>
      </c>
    </row>
    <row r="129">
      <c r="A129" s="0" t="s">
        <v>28</v>
      </c>
      <c r="B129" s="0" t="s">
        <v>30</v>
      </c>
      <c r="C129" s="0" t="s">
        <v>188</v>
      </c>
      <c r="D129" s="0" t="s">
        <v>302</v>
      </c>
      <c r="E129" s="0" t="s">
        <v>154</v>
      </c>
      <c r="F129" s="0" t="s">
        <v>350</v>
      </c>
      <c r="G129" s="0" t="s">
        <v>358</v>
      </c>
      <c r="H129" s="0">
        <v>12</v>
      </c>
      <c r="I129" s="0">
        <v>53</v>
      </c>
      <c r="J129" s="0">
        <v>2780</v>
      </c>
    </row>
    <row r="130">
      <c r="A130" s="0" t="s">
        <v>28</v>
      </c>
      <c r="B130" s="0" t="s">
        <v>30</v>
      </c>
      <c r="C130" s="0" t="s">
        <v>190</v>
      </c>
      <c r="D130" s="0" t="s">
        <v>305</v>
      </c>
      <c r="E130" s="0" t="s">
        <v>154</v>
      </c>
      <c r="F130" s="0" t="s">
        <v>327</v>
      </c>
      <c r="G130" s="0" t="s">
        <v>30</v>
      </c>
      <c r="H130" s="0">
        <v>12</v>
      </c>
      <c r="I130" s="0">
        <v>56</v>
      </c>
      <c r="J130" s="0">
        <v>2782</v>
      </c>
    </row>
    <row r="131">
      <c r="A131" s="0" t="s">
        <v>28</v>
      </c>
      <c r="B131" s="0" t="s">
        <v>30</v>
      </c>
      <c r="C131" s="0" t="s">
        <v>190</v>
      </c>
      <c r="D131" s="0" t="s">
        <v>305</v>
      </c>
      <c r="E131" s="0" t="s">
        <v>154</v>
      </c>
      <c r="F131" s="0" t="s">
        <v>328</v>
      </c>
      <c r="G131" s="0" t="s">
        <v>305</v>
      </c>
      <c r="H131" s="0">
        <v>12</v>
      </c>
      <c r="I131" s="0">
        <v>56</v>
      </c>
      <c r="J131" s="0">
        <v>2782</v>
      </c>
    </row>
    <row r="132">
      <c r="A132" s="0" t="s">
        <v>28</v>
      </c>
      <c r="B132" s="0" t="s">
        <v>30</v>
      </c>
      <c r="C132" s="0" t="s">
        <v>190</v>
      </c>
      <c r="D132" s="0" t="s">
        <v>305</v>
      </c>
      <c r="E132" s="0" t="s">
        <v>154</v>
      </c>
      <c r="F132" s="0" t="s">
        <v>329</v>
      </c>
      <c r="G132" s="0" t="s">
        <v>190</v>
      </c>
      <c r="H132" s="0">
        <v>12</v>
      </c>
      <c r="I132" s="0">
        <v>56</v>
      </c>
      <c r="J132" s="0">
        <v>2782</v>
      </c>
    </row>
    <row r="133">
      <c r="A133" s="0" t="s">
        <v>28</v>
      </c>
      <c r="B133" s="0" t="s">
        <v>30</v>
      </c>
      <c r="C133" s="0" t="s">
        <v>190</v>
      </c>
      <c r="D133" s="0" t="s">
        <v>305</v>
      </c>
      <c r="E133" s="0" t="s">
        <v>154</v>
      </c>
      <c r="F133" s="0" t="s">
        <v>330</v>
      </c>
      <c r="G133" s="0" t="s">
        <v>114</v>
      </c>
      <c r="H133" s="0">
        <v>12</v>
      </c>
      <c r="I133" s="0">
        <v>56</v>
      </c>
      <c r="J133" s="0">
        <v>2782</v>
      </c>
    </row>
    <row r="134">
      <c r="A134" s="0" t="s">
        <v>28</v>
      </c>
      <c r="B134" s="0" t="s">
        <v>30</v>
      </c>
      <c r="C134" s="0" t="s">
        <v>190</v>
      </c>
      <c r="D134" s="0" t="s">
        <v>305</v>
      </c>
      <c r="E134" s="0" t="s">
        <v>154</v>
      </c>
      <c r="F134" s="0" t="s">
        <v>367</v>
      </c>
      <c r="G134" s="0" t="s">
        <v>368</v>
      </c>
      <c r="H134" s="0">
        <v>12</v>
      </c>
      <c r="I134" s="0">
        <v>56</v>
      </c>
      <c r="J134" s="0">
        <v>2782</v>
      </c>
    </row>
    <row r="135">
      <c r="A135" s="0" t="s">
        <v>28</v>
      </c>
      <c r="B135" s="0" t="s">
        <v>30</v>
      </c>
      <c r="C135" s="0" t="s">
        <v>190</v>
      </c>
      <c r="D135" s="0" t="s">
        <v>305</v>
      </c>
      <c r="E135" s="0" t="s">
        <v>154</v>
      </c>
      <c r="F135" s="0" t="s">
        <v>369</v>
      </c>
      <c r="G135" s="0" t="s">
        <v>370</v>
      </c>
      <c r="H135" s="0">
        <v>12</v>
      </c>
      <c r="I135" s="0">
        <v>56</v>
      </c>
      <c r="J135" s="0">
        <v>2782</v>
      </c>
    </row>
    <row r="136">
      <c r="A136" s="0" t="s">
        <v>28</v>
      </c>
      <c r="B136" s="0" t="s">
        <v>30</v>
      </c>
      <c r="C136" s="0" t="s">
        <v>190</v>
      </c>
      <c r="D136" s="0" t="s">
        <v>305</v>
      </c>
      <c r="E136" s="0" t="s">
        <v>154</v>
      </c>
      <c r="F136" s="0" t="s">
        <v>331</v>
      </c>
      <c r="G136" s="0" t="s">
        <v>332</v>
      </c>
      <c r="H136" s="0">
        <v>12</v>
      </c>
      <c r="I136" s="0">
        <v>56</v>
      </c>
      <c r="J136" s="0">
        <v>2782</v>
      </c>
    </row>
    <row r="137">
      <c r="A137" s="0" t="s">
        <v>28</v>
      </c>
      <c r="B137" s="0" t="s">
        <v>30</v>
      </c>
      <c r="C137" s="0" t="s">
        <v>190</v>
      </c>
      <c r="D137" s="0" t="s">
        <v>305</v>
      </c>
      <c r="E137" s="0" t="s">
        <v>154</v>
      </c>
      <c r="F137" s="0" t="s">
        <v>333</v>
      </c>
      <c r="G137" s="0" t="s">
        <v>371</v>
      </c>
      <c r="H137" s="0">
        <v>12</v>
      </c>
      <c r="I137" s="0">
        <v>56</v>
      </c>
      <c r="J137" s="0">
        <v>2782</v>
      </c>
    </row>
    <row r="138">
      <c r="A138" s="0" t="s">
        <v>28</v>
      </c>
      <c r="B138" s="0" t="s">
        <v>30</v>
      </c>
      <c r="C138" s="0" t="s">
        <v>190</v>
      </c>
      <c r="D138" s="0" t="s">
        <v>305</v>
      </c>
      <c r="E138" s="0" t="s">
        <v>154</v>
      </c>
      <c r="F138" s="0" t="s">
        <v>333</v>
      </c>
      <c r="G138" s="0" t="s">
        <v>335</v>
      </c>
      <c r="H138" s="0">
        <v>12</v>
      </c>
      <c r="I138" s="0">
        <v>56</v>
      </c>
      <c r="J138" s="0">
        <v>2782</v>
      </c>
    </row>
    <row r="139">
      <c r="A139" s="0" t="s">
        <v>28</v>
      </c>
      <c r="B139" s="0" t="s">
        <v>30</v>
      </c>
      <c r="C139" s="0" t="s">
        <v>190</v>
      </c>
      <c r="D139" s="0" t="s">
        <v>305</v>
      </c>
      <c r="E139" s="0" t="s">
        <v>154</v>
      </c>
      <c r="F139" s="0" t="s">
        <v>372</v>
      </c>
      <c r="G139" s="0" t="s">
        <v>341</v>
      </c>
      <c r="H139" s="0">
        <v>12</v>
      </c>
      <c r="I139" s="0">
        <v>56</v>
      </c>
      <c r="J139" s="0">
        <v>2782</v>
      </c>
    </row>
    <row r="140">
      <c r="A140" s="0" t="s">
        <v>28</v>
      </c>
      <c r="B140" s="0" t="s">
        <v>30</v>
      </c>
      <c r="C140" s="0" t="s">
        <v>190</v>
      </c>
      <c r="D140" s="0" t="s">
        <v>305</v>
      </c>
      <c r="E140" s="0" t="s">
        <v>154</v>
      </c>
      <c r="F140" s="0" t="s">
        <v>373</v>
      </c>
      <c r="G140" s="0" t="s">
        <v>341</v>
      </c>
      <c r="H140" s="0">
        <v>12</v>
      </c>
      <c r="I140" s="0">
        <v>56</v>
      </c>
      <c r="J140" s="0">
        <v>2782</v>
      </c>
    </row>
    <row r="141">
      <c r="A141" s="0" t="s">
        <v>28</v>
      </c>
      <c r="B141" s="0" t="s">
        <v>30</v>
      </c>
      <c r="C141" s="0" t="s">
        <v>190</v>
      </c>
      <c r="D141" s="0" t="s">
        <v>305</v>
      </c>
      <c r="E141" s="0" t="s">
        <v>154</v>
      </c>
      <c r="F141" s="0" t="s">
        <v>393</v>
      </c>
      <c r="G141" s="0" t="s">
        <v>114</v>
      </c>
      <c r="H141" s="0">
        <v>12</v>
      </c>
      <c r="I141" s="0">
        <v>56</v>
      </c>
      <c r="J141" s="0">
        <v>2782</v>
      </c>
    </row>
    <row r="142">
      <c r="A142" s="0" t="s">
        <v>28</v>
      </c>
      <c r="B142" s="0" t="s">
        <v>30</v>
      </c>
      <c r="C142" s="0" t="s">
        <v>190</v>
      </c>
      <c r="D142" s="0" t="s">
        <v>305</v>
      </c>
      <c r="E142" s="0" t="s">
        <v>154</v>
      </c>
      <c r="F142" s="0" t="s">
        <v>375</v>
      </c>
      <c r="G142" s="0" t="s">
        <v>394</v>
      </c>
      <c r="H142" s="0">
        <v>12</v>
      </c>
      <c r="I142" s="0">
        <v>56</v>
      </c>
      <c r="J142" s="0">
        <v>2782</v>
      </c>
    </row>
    <row r="143">
      <c r="A143" s="0" t="s">
        <v>28</v>
      </c>
      <c r="B143" s="0" t="s">
        <v>30</v>
      </c>
      <c r="C143" s="0" t="s">
        <v>190</v>
      </c>
      <c r="D143" s="0" t="s">
        <v>305</v>
      </c>
      <c r="E143" s="0" t="s">
        <v>154</v>
      </c>
      <c r="F143" s="0" t="s">
        <v>377</v>
      </c>
      <c r="G143" s="0" t="s">
        <v>378</v>
      </c>
      <c r="H143" s="0">
        <v>12</v>
      </c>
      <c r="I143" s="0">
        <v>56</v>
      </c>
      <c r="J143" s="0">
        <v>2782</v>
      </c>
    </row>
    <row r="144">
      <c r="A144" s="0" t="s">
        <v>28</v>
      </c>
      <c r="B144" s="0" t="s">
        <v>30</v>
      </c>
      <c r="C144" s="0" t="s">
        <v>190</v>
      </c>
      <c r="D144" s="0" t="s">
        <v>305</v>
      </c>
      <c r="E144" s="0" t="s">
        <v>154</v>
      </c>
      <c r="F144" s="0" t="s">
        <v>336</v>
      </c>
      <c r="G144" s="0" t="s">
        <v>379</v>
      </c>
      <c r="H144" s="0">
        <v>12</v>
      </c>
      <c r="I144" s="0">
        <v>56</v>
      </c>
      <c r="J144" s="0">
        <v>2782</v>
      </c>
    </row>
    <row r="145">
      <c r="A145" s="0" t="s">
        <v>28</v>
      </c>
      <c r="B145" s="0" t="s">
        <v>30</v>
      </c>
      <c r="C145" s="0" t="s">
        <v>190</v>
      </c>
      <c r="D145" s="0" t="s">
        <v>305</v>
      </c>
      <c r="E145" s="0" t="s">
        <v>154</v>
      </c>
      <c r="F145" s="0" t="s">
        <v>338</v>
      </c>
      <c r="G145" s="0" t="s">
        <v>395</v>
      </c>
      <c r="H145" s="0">
        <v>12</v>
      </c>
      <c r="I145" s="0">
        <v>56</v>
      </c>
      <c r="J145" s="0">
        <v>2782</v>
      </c>
    </row>
    <row r="146">
      <c r="A146" s="0" t="s">
        <v>28</v>
      </c>
      <c r="B146" s="0" t="s">
        <v>30</v>
      </c>
      <c r="C146" s="0" t="s">
        <v>190</v>
      </c>
      <c r="D146" s="0" t="s">
        <v>305</v>
      </c>
      <c r="E146" s="0" t="s">
        <v>154</v>
      </c>
      <c r="F146" s="0" t="s">
        <v>381</v>
      </c>
      <c r="G146" s="0" t="s">
        <v>382</v>
      </c>
      <c r="H146" s="0">
        <v>12</v>
      </c>
      <c r="I146" s="0">
        <v>56</v>
      </c>
      <c r="J146" s="0">
        <v>2782</v>
      </c>
    </row>
    <row r="147">
      <c r="A147" s="0" t="s">
        <v>28</v>
      </c>
      <c r="B147" s="0" t="s">
        <v>30</v>
      </c>
      <c r="C147" s="0" t="s">
        <v>190</v>
      </c>
      <c r="D147" s="0" t="s">
        <v>305</v>
      </c>
      <c r="E147" s="0" t="s">
        <v>154</v>
      </c>
      <c r="F147" s="0" t="s">
        <v>340</v>
      </c>
      <c r="G147" s="0" t="s">
        <v>341</v>
      </c>
      <c r="H147" s="0">
        <v>12</v>
      </c>
      <c r="I147" s="0">
        <v>56</v>
      </c>
      <c r="J147" s="0">
        <v>2782</v>
      </c>
    </row>
    <row r="148">
      <c r="A148" s="0" t="s">
        <v>28</v>
      </c>
      <c r="B148" s="0" t="s">
        <v>30</v>
      </c>
      <c r="C148" s="0" t="s">
        <v>190</v>
      </c>
      <c r="D148" s="0" t="s">
        <v>305</v>
      </c>
      <c r="E148" s="0" t="s">
        <v>154</v>
      </c>
      <c r="F148" s="0" t="s">
        <v>342</v>
      </c>
      <c r="G148" s="0" t="s">
        <v>341</v>
      </c>
      <c r="H148" s="0">
        <v>12</v>
      </c>
      <c r="I148" s="0">
        <v>56</v>
      </c>
      <c r="J148" s="0">
        <v>2782</v>
      </c>
    </row>
    <row r="149">
      <c r="A149" s="0" t="s">
        <v>28</v>
      </c>
      <c r="B149" s="0" t="s">
        <v>30</v>
      </c>
      <c r="C149" s="0" t="s">
        <v>190</v>
      </c>
      <c r="D149" s="0" t="s">
        <v>305</v>
      </c>
      <c r="E149" s="0" t="s">
        <v>154</v>
      </c>
      <c r="F149" s="0" t="s">
        <v>343</v>
      </c>
      <c r="G149" s="0" t="s">
        <v>344</v>
      </c>
      <c r="H149" s="0">
        <v>12</v>
      </c>
      <c r="I149" s="0">
        <v>56</v>
      </c>
      <c r="J149" s="0">
        <v>2782</v>
      </c>
    </row>
    <row r="150">
      <c r="A150" s="0" t="s">
        <v>28</v>
      </c>
      <c r="B150" s="0" t="s">
        <v>30</v>
      </c>
      <c r="C150" s="0" t="s">
        <v>190</v>
      </c>
      <c r="D150" s="0" t="s">
        <v>305</v>
      </c>
      <c r="E150" s="0" t="s">
        <v>154</v>
      </c>
      <c r="F150" s="0" t="s">
        <v>345</v>
      </c>
      <c r="G150" s="0" t="s">
        <v>379</v>
      </c>
      <c r="H150" s="0">
        <v>12</v>
      </c>
      <c r="I150" s="0">
        <v>56</v>
      </c>
      <c r="J150" s="0">
        <v>2782</v>
      </c>
    </row>
    <row r="151">
      <c r="A151" s="0" t="s">
        <v>28</v>
      </c>
      <c r="B151" s="0" t="s">
        <v>30</v>
      </c>
      <c r="C151" s="0" t="s">
        <v>190</v>
      </c>
      <c r="D151" s="0" t="s">
        <v>305</v>
      </c>
      <c r="E151" s="0" t="s">
        <v>154</v>
      </c>
      <c r="F151" s="0" t="s">
        <v>383</v>
      </c>
      <c r="G151" s="0" t="s">
        <v>114</v>
      </c>
      <c r="H151" s="0">
        <v>12</v>
      </c>
      <c r="I151" s="0">
        <v>56</v>
      </c>
      <c r="J151" s="0">
        <v>2782</v>
      </c>
    </row>
    <row r="152">
      <c r="A152" s="0" t="s">
        <v>28</v>
      </c>
      <c r="B152" s="0" t="s">
        <v>30</v>
      </c>
      <c r="C152" s="0" t="s">
        <v>190</v>
      </c>
      <c r="D152" s="0" t="s">
        <v>305</v>
      </c>
      <c r="E152" s="0" t="s">
        <v>154</v>
      </c>
      <c r="F152" s="0" t="s">
        <v>346</v>
      </c>
      <c r="G152" s="0" t="s">
        <v>396</v>
      </c>
      <c r="H152" s="0">
        <v>12</v>
      </c>
      <c r="I152" s="0">
        <v>56</v>
      </c>
      <c r="J152" s="0">
        <v>2782</v>
      </c>
    </row>
    <row r="153">
      <c r="A153" s="0" t="s">
        <v>28</v>
      </c>
      <c r="B153" s="0" t="s">
        <v>30</v>
      </c>
      <c r="C153" s="0" t="s">
        <v>190</v>
      </c>
      <c r="D153" s="0" t="s">
        <v>305</v>
      </c>
      <c r="E153" s="0" t="s">
        <v>154</v>
      </c>
      <c r="F153" s="0" t="s">
        <v>348</v>
      </c>
      <c r="G153" s="0" t="s">
        <v>357</v>
      </c>
      <c r="H153" s="0">
        <v>12</v>
      </c>
      <c r="I153" s="0">
        <v>56</v>
      </c>
      <c r="J153" s="0">
        <v>2782</v>
      </c>
    </row>
    <row r="154">
      <c r="A154" s="0" t="s">
        <v>28</v>
      </c>
      <c r="B154" s="0" t="s">
        <v>30</v>
      </c>
      <c r="C154" s="0" t="s">
        <v>190</v>
      </c>
      <c r="D154" s="0" t="s">
        <v>305</v>
      </c>
      <c r="E154" s="0" t="s">
        <v>154</v>
      </c>
      <c r="F154" s="0" t="s">
        <v>350</v>
      </c>
      <c r="G154" s="0" t="s">
        <v>357</v>
      </c>
      <c r="H154" s="0">
        <v>12</v>
      </c>
      <c r="I154" s="0">
        <v>56</v>
      </c>
      <c r="J154" s="0">
        <v>2782</v>
      </c>
    </row>
    <row r="155">
      <c r="A155" s="0" t="s">
        <v>28</v>
      </c>
      <c r="B155" s="0" t="s">
        <v>30</v>
      </c>
      <c r="C155" s="0" t="s">
        <v>190</v>
      </c>
      <c r="D155" s="0" t="s">
        <v>305</v>
      </c>
      <c r="E155" s="0" t="s">
        <v>154</v>
      </c>
      <c r="F155" s="0" t="s">
        <v>385</v>
      </c>
      <c r="G155" s="0" t="s">
        <v>114</v>
      </c>
      <c r="H155" s="0">
        <v>12</v>
      </c>
      <c r="I155" s="0">
        <v>56</v>
      </c>
      <c r="J155" s="0">
        <v>2782</v>
      </c>
    </row>
    <row r="156">
      <c r="A156" s="0" t="s">
        <v>28</v>
      </c>
      <c r="B156" s="0" t="s">
        <v>30</v>
      </c>
      <c r="C156" s="0" t="s">
        <v>190</v>
      </c>
      <c r="D156" s="0" t="s">
        <v>305</v>
      </c>
      <c r="E156" s="0" t="s">
        <v>154</v>
      </c>
      <c r="F156" s="0" t="s">
        <v>386</v>
      </c>
      <c r="G156" s="0" t="s">
        <v>397</v>
      </c>
      <c r="H156" s="0">
        <v>12</v>
      </c>
      <c r="I156" s="0">
        <v>56</v>
      </c>
      <c r="J156" s="0">
        <v>2782</v>
      </c>
    </row>
    <row r="157">
      <c r="A157" s="0" t="s">
        <v>28</v>
      </c>
      <c r="B157" s="0" t="s">
        <v>30</v>
      </c>
      <c r="C157" s="0" t="s">
        <v>190</v>
      </c>
      <c r="D157" s="0" t="s">
        <v>305</v>
      </c>
      <c r="E157" s="0" t="s">
        <v>154</v>
      </c>
      <c r="F157" s="0" t="s">
        <v>388</v>
      </c>
      <c r="G157" s="0" t="s">
        <v>389</v>
      </c>
      <c r="H157" s="0">
        <v>12</v>
      </c>
      <c r="I157" s="0">
        <v>56</v>
      </c>
      <c r="J157" s="0">
        <v>2782</v>
      </c>
    </row>
    <row r="158">
      <c r="A158" s="0" t="s">
        <v>28</v>
      </c>
      <c r="B158" s="0" t="s">
        <v>30</v>
      </c>
      <c r="C158" s="0" t="s">
        <v>190</v>
      </c>
      <c r="D158" s="0" t="s">
        <v>305</v>
      </c>
      <c r="E158" s="0" t="s">
        <v>154</v>
      </c>
      <c r="F158" s="0" t="s">
        <v>388</v>
      </c>
      <c r="G158" s="0" t="s">
        <v>390</v>
      </c>
      <c r="H158" s="0">
        <v>12</v>
      </c>
      <c r="I158" s="0">
        <v>56</v>
      </c>
      <c r="J158" s="0">
        <v>2782</v>
      </c>
    </row>
    <row r="159">
      <c r="A159" s="0" t="s">
        <v>28</v>
      </c>
      <c r="B159" s="0" t="s">
        <v>30</v>
      </c>
      <c r="C159" s="0" t="s">
        <v>194</v>
      </c>
      <c r="D159" s="0" t="s">
        <v>307</v>
      </c>
      <c r="E159" s="0" t="s">
        <v>154</v>
      </c>
      <c r="F159" s="0" t="s">
        <v>398</v>
      </c>
      <c r="G159" s="0" t="s">
        <v>114</v>
      </c>
      <c r="H159" s="0">
        <v>12</v>
      </c>
      <c r="I159" s="0">
        <v>55</v>
      </c>
      <c r="J159" s="0">
        <v>2103</v>
      </c>
    </row>
    <row r="160">
      <c r="A160" s="0" t="s">
        <v>28</v>
      </c>
      <c r="B160" s="0" t="s">
        <v>30</v>
      </c>
      <c r="C160" s="0" t="s">
        <v>194</v>
      </c>
      <c r="D160" s="0" t="s">
        <v>307</v>
      </c>
      <c r="E160" s="0" t="s">
        <v>154</v>
      </c>
      <c r="F160" s="0" t="s">
        <v>327</v>
      </c>
      <c r="G160" s="0" t="s">
        <v>30</v>
      </c>
      <c r="H160" s="0">
        <v>12</v>
      </c>
      <c r="I160" s="0">
        <v>55</v>
      </c>
      <c r="J160" s="0">
        <v>2103</v>
      </c>
    </row>
    <row r="161">
      <c r="A161" s="0" t="s">
        <v>28</v>
      </c>
      <c r="B161" s="0" t="s">
        <v>30</v>
      </c>
      <c r="C161" s="0" t="s">
        <v>194</v>
      </c>
      <c r="D161" s="0" t="s">
        <v>307</v>
      </c>
      <c r="E161" s="0" t="s">
        <v>154</v>
      </c>
      <c r="F161" s="0" t="s">
        <v>328</v>
      </c>
      <c r="G161" s="0" t="s">
        <v>307</v>
      </c>
      <c r="H161" s="0">
        <v>12</v>
      </c>
      <c r="I161" s="0">
        <v>55</v>
      </c>
      <c r="J161" s="0">
        <v>2103</v>
      </c>
    </row>
    <row r="162">
      <c r="A162" s="0" t="s">
        <v>28</v>
      </c>
      <c r="B162" s="0" t="s">
        <v>30</v>
      </c>
      <c r="C162" s="0" t="s">
        <v>194</v>
      </c>
      <c r="D162" s="0" t="s">
        <v>307</v>
      </c>
      <c r="E162" s="0" t="s">
        <v>154</v>
      </c>
      <c r="F162" s="0" t="s">
        <v>329</v>
      </c>
      <c r="G162" s="0" t="s">
        <v>194</v>
      </c>
      <c r="H162" s="0">
        <v>12</v>
      </c>
      <c r="I162" s="0">
        <v>55</v>
      </c>
      <c r="J162" s="0">
        <v>2103</v>
      </c>
    </row>
    <row r="163">
      <c r="A163" s="0" t="s">
        <v>28</v>
      </c>
      <c r="B163" s="0" t="s">
        <v>30</v>
      </c>
      <c r="C163" s="0" t="s">
        <v>194</v>
      </c>
      <c r="D163" s="0" t="s">
        <v>307</v>
      </c>
      <c r="E163" s="0" t="s">
        <v>154</v>
      </c>
      <c r="F163" s="0" t="s">
        <v>399</v>
      </c>
      <c r="G163" s="0" t="s">
        <v>400</v>
      </c>
      <c r="H163" s="0">
        <v>12</v>
      </c>
      <c r="I163" s="0">
        <v>55</v>
      </c>
      <c r="J163" s="0">
        <v>2103</v>
      </c>
    </row>
    <row r="164">
      <c r="A164" s="0" t="s">
        <v>28</v>
      </c>
      <c r="B164" s="0" t="s">
        <v>30</v>
      </c>
      <c r="C164" s="0" t="s">
        <v>194</v>
      </c>
      <c r="D164" s="0" t="s">
        <v>307</v>
      </c>
      <c r="E164" s="0" t="s">
        <v>154</v>
      </c>
      <c r="F164" s="0" t="s">
        <v>401</v>
      </c>
      <c r="G164" s="0" t="s">
        <v>402</v>
      </c>
      <c r="H164" s="0">
        <v>12</v>
      </c>
      <c r="I164" s="0">
        <v>55</v>
      </c>
      <c r="J164" s="0">
        <v>2103</v>
      </c>
    </row>
    <row r="165">
      <c r="A165" s="0" t="s">
        <v>28</v>
      </c>
      <c r="B165" s="0" t="s">
        <v>30</v>
      </c>
      <c r="C165" s="0" t="s">
        <v>194</v>
      </c>
      <c r="D165" s="0" t="s">
        <v>307</v>
      </c>
      <c r="E165" s="0" t="s">
        <v>154</v>
      </c>
      <c r="F165" s="0" t="s">
        <v>403</v>
      </c>
      <c r="G165" s="0" t="s">
        <v>404</v>
      </c>
      <c r="H165" s="0">
        <v>12</v>
      </c>
      <c r="I165" s="0">
        <v>55</v>
      </c>
      <c r="J165" s="0">
        <v>2103</v>
      </c>
    </row>
    <row r="166">
      <c r="A166" s="0" t="s">
        <v>28</v>
      </c>
      <c r="B166" s="0" t="s">
        <v>30</v>
      </c>
      <c r="C166" s="0" t="s">
        <v>194</v>
      </c>
      <c r="D166" s="0" t="s">
        <v>307</v>
      </c>
      <c r="E166" s="0" t="s">
        <v>154</v>
      </c>
      <c r="F166" s="0" t="s">
        <v>369</v>
      </c>
      <c r="G166" s="0" t="s">
        <v>405</v>
      </c>
      <c r="H166" s="0">
        <v>12</v>
      </c>
      <c r="I166" s="0">
        <v>55</v>
      </c>
      <c r="J166" s="0">
        <v>2103</v>
      </c>
    </row>
    <row r="167">
      <c r="A167" s="0" t="s">
        <v>28</v>
      </c>
      <c r="B167" s="0" t="s">
        <v>30</v>
      </c>
      <c r="C167" s="0" t="s">
        <v>194</v>
      </c>
      <c r="D167" s="0" t="s">
        <v>307</v>
      </c>
      <c r="E167" s="0" t="s">
        <v>154</v>
      </c>
      <c r="F167" s="0" t="s">
        <v>333</v>
      </c>
      <c r="G167" s="0" t="s">
        <v>335</v>
      </c>
      <c r="H167" s="0">
        <v>12</v>
      </c>
      <c r="I167" s="0">
        <v>55</v>
      </c>
      <c r="J167" s="0">
        <v>2103</v>
      </c>
    </row>
    <row r="168">
      <c r="A168" s="0" t="s">
        <v>28</v>
      </c>
      <c r="B168" s="0" t="s">
        <v>30</v>
      </c>
      <c r="C168" s="0" t="s">
        <v>194</v>
      </c>
      <c r="D168" s="0" t="s">
        <v>307</v>
      </c>
      <c r="E168" s="0" t="s">
        <v>154</v>
      </c>
      <c r="F168" s="0" t="s">
        <v>406</v>
      </c>
      <c r="G168" s="0" t="s">
        <v>407</v>
      </c>
      <c r="H168" s="0">
        <v>12</v>
      </c>
      <c r="I168" s="0">
        <v>55</v>
      </c>
      <c r="J168" s="0">
        <v>2103</v>
      </c>
    </row>
    <row r="169">
      <c r="A169" s="0" t="s">
        <v>28</v>
      </c>
      <c r="B169" s="0" t="s">
        <v>30</v>
      </c>
      <c r="C169" s="0" t="s">
        <v>194</v>
      </c>
      <c r="D169" s="0" t="s">
        <v>307</v>
      </c>
      <c r="E169" s="0" t="s">
        <v>154</v>
      </c>
      <c r="F169" s="0" t="s">
        <v>408</v>
      </c>
      <c r="G169" s="0" t="s">
        <v>409</v>
      </c>
      <c r="H169" s="0">
        <v>12</v>
      </c>
      <c r="I169" s="0">
        <v>55</v>
      </c>
      <c r="J169" s="0">
        <v>2103</v>
      </c>
    </row>
    <row r="170">
      <c r="A170" s="0" t="s">
        <v>28</v>
      </c>
      <c r="B170" s="0" t="s">
        <v>30</v>
      </c>
      <c r="C170" s="0" t="s">
        <v>194</v>
      </c>
      <c r="D170" s="0" t="s">
        <v>307</v>
      </c>
      <c r="E170" s="0" t="s">
        <v>154</v>
      </c>
      <c r="F170" s="0" t="s">
        <v>410</v>
      </c>
      <c r="G170" s="0" t="s">
        <v>344</v>
      </c>
      <c r="H170" s="0">
        <v>12</v>
      </c>
      <c r="I170" s="0">
        <v>55</v>
      </c>
      <c r="J170" s="0">
        <v>2103</v>
      </c>
    </row>
    <row r="171">
      <c r="A171" s="0" t="s">
        <v>28</v>
      </c>
      <c r="B171" s="0" t="s">
        <v>30</v>
      </c>
      <c r="C171" s="0" t="s">
        <v>194</v>
      </c>
      <c r="D171" s="0" t="s">
        <v>307</v>
      </c>
      <c r="E171" s="0" t="s">
        <v>154</v>
      </c>
      <c r="F171" s="0" t="s">
        <v>338</v>
      </c>
      <c r="G171" s="0" t="s">
        <v>411</v>
      </c>
      <c r="H171" s="0">
        <v>12</v>
      </c>
      <c r="I171" s="0">
        <v>55</v>
      </c>
      <c r="J171" s="0">
        <v>2103</v>
      </c>
    </row>
    <row r="172">
      <c r="A172" s="0" t="s">
        <v>28</v>
      </c>
      <c r="B172" s="0" t="s">
        <v>30</v>
      </c>
      <c r="C172" s="0" t="s">
        <v>194</v>
      </c>
      <c r="D172" s="0" t="s">
        <v>307</v>
      </c>
      <c r="E172" s="0" t="s">
        <v>154</v>
      </c>
      <c r="F172" s="0" t="s">
        <v>412</v>
      </c>
      <c r="G172" s="0" t="s">
        <v>413</v>
      </c>
      <c r="H172" s="0">
        <v>12</v>
      </c>
      <c r="I172" s="0">
        <v>55</v>
      </c>
      <c r="J172" s="0">
        <v>2103</v>
      </c>
    </row>
    <row r="173">
      <c r="A173" s="0" t="s">
        <v>28</v>
      </c>
      <c r="B173" s="0" t="s">
        <v>30</v>
      </c>
      <c r="C173" s="0" t="s">
        <v>194</v>
      </c>
      <c r="D173" s="0" t="s">
        <v>307</v>
      </c>
      <c r="E173" s="0" t="s">
        <v>154</v>
      </c>
      <c r="F173" s="0" t="s">
        <v>381</v>
      </c>
      <c r="G173" s="0" t="s">
        <v>414</v>
      </c>
      <c r="H173" s="0">
        <v>12</v>
      </c>
      <c r="I173" s="0">
        <v>55</v>
      </c>
      <c r="J173" s="0">
        <v>2103</v>
      </c>
    </row>
    <row r="174">
      <c r="A174" s="0" t="s">
        <v>28</v>
      </c>
      <c r="B174" s="0" t="s">
        <v>30</v>
      </c>
      <c r="C174" s="0" t="s">
        <v>194</v>
      </c>
      <c r="D174" s="0" t="s">
        <v>307</v>
      </c>
      <c r="E174" s="0" t="s">
        <v>154</v>
      </c>
      <c r="F174" s="0" t="s">
        <v>340</v>
      </c>
      <c r="G174" s="0" t="s">
        <v>341</v>
      </c>
      <c r="H174" s="0">
        <v>12</v>
      </c>
      <c r="I174" s="0">
        <v>55</v>
      </c>
      <c r="J174" s="0">
        <v>2103</v>
      </c>
    </row>
    <row r="175">
      <c r="A175" s="0" t="s">
        <v>28</v>
      </c>
      <c r="B175" s="0" t="s">
        <v>30</v>
      </c>
      <c r="C175" s="0" t="s">
        <v>194</v>
      </c>
      <c r="D175" s="0" t="s">
        <v>307</v>
      </c>
      <c r="E175" s="0" t="s">
        <v>154</v>
      </c>
      <c r="F175" s="0" t="s">
        <v>415</v>
      </c>
      <c r="G175" s="0" t="s">
        <v>416</v>
      </c>
      <c r="H175" s="0">
        <v>12</v>
      </c>
      <c r="I175" s="0">
        <v>55</v>
      </c>
      <c r="J175" s="0">
        <v>2103</v>
      </c>
    </row>
    <row r="176">
      <c r="A176" s="0" t="s">
        <v>28</v>
      </c>
      <c r="B176" s="0" t="s">
        <v>30</v>
      </c>
      <c r="C176" s="0" t="s">
        <v>194</v>
      </c>
      <c r="D176" s="0" t="s">
        <v>307</v>
      </c>
      <c r="E176" s="0" t="s">
        <v>154</v>
      </c>
      <c r="F176" s="0" t="s">
        <v>342</v>
      </c>
      <c r="G176" s="0" t="s">
        <v>341</v>
      </c>
      <c r="H176" s="0">
        <v>12</v>
      </c>
      <c r="I176" s="0">
        <v>55</v>
      </c>
      <c r="J176" s="0">
        <v>2103</v>
      </c>
    </row>
    <row r="177">
      <c r="A177" s="0" t="s">
        <v>28</v>
      </c>
      <c r="B177" s="0" t="s">
        <v>30</v>
      </c>
      <c r="C177" s="0" t="s">
        <v>194</v>
      </c>
      <c r="D177" s="0" t="s">
        <v>307</v>
      </c>
      <c r="E177" s="0" t="s">
        <v>154</v>
      </c>
      <c r="F177" s="0" t="s">
        <v>343</v>
      </c>
      <c r="G177" s="0" t="s">
        <v>344</v>
      </c>
      <c r="H177" s="0">
        <v>12</v>
      </c>
      <c r="I177" s="0">
        <v>55</v>
      </c>
      <c r="J177" s="0">
        <v>2103</v>
      </c>
    </row>
    <row r="178">
      <c r="A178" s="0" t="s">
        <v>28</v>
      </c>
      <c r="B178" s="0" t="s">
        <v>30</v>
      </c>
      <c r="C178" s="0" t="s">
        <v>194</v>
      </c>
      <c r="D178" s="0" t="s">
        <v>307</v>
      </c>
      <c r="E178" s="0" t="s">
        <v>154</v>
      </c>
      <c r="F178" s="0" t="s">
        <v>383</v>
      </c>
      <c r="G178" s="0" t="s">
        <v>114</v>
      </c>
      <c r="H178" s="0">
        <v>12</v>
      </c>
      <c r="I178" s="0">
        <v>55</v>
      </c>
      <c r="J178" s="0">
        <v>2103</v>
      </c>
    </row>
    <row r="179">
      <c r="A179" s="0" t="s">
        <v>28</v>
      </c>
      <c r="B179" s="0" t="s">
        <v>30</v>
      </c>
      <c r="C179" s="0" t="s">
        <v>194</v>
      </c>
      <c r="D179" s="0" t="s">
        <v>307</v>
      </c>
      <c r="E179" s="0" t="s">
        <v>154</v>
      </c>
      <c r="F179" s="0" t="s">
        <v>348</v>
      </c>
      <c r="G179" s="0" t="s">
        <v>349</v>
      </c>
      <c r="H179" s="0">
        <v>12</v>
      </c>
      <c r="I179" s="0">
        <v>55</v>
      </c>
      <c r="J179" s="0">
        <v>2103</v>
      </c>
    </row>
    <row r="180">
      <c r="A180" s="0" t="s">
        <v>28</v>
      </c>
      <c r="B180" s="0" t="s">
        <v>30</v>
      </c>
      <c r="C180" s="0" t="s">
        <v>194</v>
      </c>
      <c r="D180" s="0" t="s">
        <v>307</v>
      </c>
      <c r="E180" s="0" t="s">
        <v>154</v>
      </c>
      <c r="F180" s="0" t="s">
        <v>350</v>
      </c>
      <c r="G180" s="0" t="s">
        <v>349</v>
      </c>
      <c r="H180" s="0">
        <v>12</v>
      </c>
      <c r="I180" s="0">
        <v>55</v>
      </c>
      <c r="J180" s="0">
        <v>2103</v>
      </c>
    </row>
    <row r="181">
      <c r="A181" s="0" t="s">
        <v>28</v>
      </c>
      <c r="B181" s="0" t="s">
        <v>30</v>
      </c>
      <c r="C181" s="0" t="s">
        <v>194</v>
      </c>
      <c r="D181" s="0" t="s">
        <v>307</v>
      </c>
      <c r="E181" s="0" t="s">
        <v>154</v>
      </c>
      <c r="F181" s="0" t="s">
        <v>386</v>
      </c>
      <c r="G181" s="0" t="s">
        <v>417</v>
      </c>
      <c r="H181" s="0">
        <v>12</v>
      </c>
      <c r="I181" s="0">
        <v>55</v>
      </c>
      <c r="J181" s="0">
        <v>2103</v>
      </c>
    </row>
    <row r="182">
      <c r="A182" s="0" t="s">
        <v>28</v>
      </c>
      <c r="B182" s="0" t="s">
        <v>30</v>
      </c>
      <c r="C182" s="0" t="s">
        <v>194</v>
      </c>
      <c r="D182" s="0" t="s">
        <v>307</v>
      </c>
      <c r="E182" s="0" t="s">
        <v>154</v>
      </c>
      <c r="F182" s="0" t="s">
        <v>418</v>
      </c>
      <c r="G182" s="0" t="s">
        <v>357</v>
      </c>
      <c r="H182" s="0">
        <v>12</v>
      </c>
      <c r="I182" s="0">
        <v>55</v>
      </c>
      <c r="J182" s="0">
        <v>2103</v>
      </c>
    </row>
    <row r="183">
      <c r="A183" s="0" t="s">
        <v>28</v>
      </c>
      <c r="B183" s="0" t="s">
        <v>30</v>
      </c>
      <c r="C183" s="0" t="s">
        <v>194</v>
      </c>
      <c r="D183" s="0" t="s">
        <v>307</v>
      </c>
      <c r="E183" s="0" t="s">
        <v>154</v>
      </c>
      <c r="F183" s="0" t="s">
        <v>419</v>
      </c>
      <c r="G183" s="0" t="s">
        <v>358</v>
      </c>
      <c r="H183" s="0">
        <v>12</v>
      </c>
      <c r="I183" s="0">
        <v>55</v>
      </c>
      <c r="J183" s="0">
        <v>2103</v>
      </c>
    </row>
    <row r="184">
      <c r="A184" s="0" t="s">
        <v>28</v>
      </c>
      <c r="B184" s="0" t="s">
        <v>30</v>
      </c>
      <c r="C184" s="0" t="s">
        <v>194</v>
      </c>
      <c r="D184" s="0" t="s">
        <v>307</v>
      </c>
      <c r="E184" s="0" t="s">
        <v>154</v>
      </c>
      <c r="F184" s="0" t="s">
        <v>420</v>
      </c>
      <c r="G184" s="0" t="s">
        <v>358</v>
      </c>
      <c r="H184" s="0">
        <v>12</v>
      </c>
      <c r="I184" s="0">
        <v>55</v>
      </c>
      <c r="J184" s="0">
        <v>2103</v>
      </c>
    </row>
    <row r="185">
      <c r="A185" s="0" t="s">
        <v>28</v>
      </c>
      <c r="B185" s="0" t="s">
        <v>30</v>
      </c>
      <c r="C185" s="0" t="s">
        <v>194</v>
      </c>
      <c r="D185" s="0" t="s">
        <v>307</v>
      </c>
      <c r="E185" s="0" t="s">
        <v>154</v>
      </c>
      <c r="F185" s="0" t="s">
        <v>421</v>
      </c>
      <c r="G185" s="0" t="s">
        <v>422</v>
      </c>
      <c r="H185" s="0">
        <v>12</v>
      </c>
      <c r="I185" s="0">
        <v>55</v>
      </c>
      <c r="J185" s="0">
        <v>2103</v>
      </c>
    </row>
    <row r="186">
      <c r="A186" s="0" t="s">
        <v>28</v>
      </c>
      <c r="B186" s="0" t="s">
        <v>30</v>
      </c>
      <c r="C186" s="0" t="s">
        <v>196</v>
      </c>
      <c r="D186" s="0" t="s">
        <v>311</v>
      </c>
      <c r="E186" s="0" t="s">
        <v>154</v>
      </c>
      <c r="F186" s="0" t="s">
        <v>327</v>
      </c>
      <c r="G186" s="0" t="s">
        <v>30</v>
      </c>
      <c r="H186" s="0">
        <v>12</v>
      </c>
      <c r="I186" s="0">
        <v>47</v>
      </c>
      <c r="J186" s="0">
        <v>2079</v>
      </c>
    </row>
    <row r="187">
      <c r="A187" s="0" t="s">
        <v>28</v>
      </c>
      <c r="B187" s="0" t="s">
        <v>30</v>
      </c>
      <c r="C187" s="0" t="s">
        <v>196</v>
      </c>
      <c r="D187" s="0" t="s">
        <v>311</v>
      </c>
      <c r="E187" s="0" t="s">
        <v>154</v>
      </c>
      <c r="F187" s="0" t="s">
        <v>328</v>
      </c>
      <c r="G187" s="0" t="s">
        <v>311</v>
      </c>
      <c r="H187" s="0">
        <v>12</v>
      </c>
      <c r="I187" s="0">
        <v>47</v>
      </c>
      <c r="J187" s="0">
        <v>2079</v>
      </c>
    </row>
    <row r="188">
      <c r="A188" s="0" t="s">
        <v>28</v>
      </c>
      <c r="B188" s="0" t="s">
        <v>30</v>
      </c>
      <c r="C188" s="0" t="s">
        <v>196</v>
      </c>
      <c r="D188" s="0" t="s">
        <v>311</v>
      </c>
      <c r="E188" s="0" t="s">
        <v>154</v>
      </c>
      <c r="F188" s="0" t="s">
        <v>329</v>
      </c>
      <c r="G188" s="0" t="s">
        <v>196</v>
      </c>
      <c r="H188" s="0">
        <v>12</v>
      </c>
      <c r="I188" s="0">
        <v>47</v>
      </c>
      <c r="J188" s="0">
        <v>2079</v>
      </c>
    </row>
    <row r="189">
      <c r="A189" s="0" t="s">
        <v>28</v>
      </c>
      <c r="B189" s="0" t="s">
        <v>30</v>
      </c>
      <c r="C189" s="0" t="s">
        <v>196</v>
      </c>
      <c r="D189" s="0" t="s">
        <v>311</v>
      </c>
      <c r="E189" s="0" t="s">
        <v>154</v>
      </c>
      <c r="F189" s="0" t="s">
        <v>423</v>
      </c>
      <c r="G189" s="0" t="s">
        <v>424</v>
      </c>
      <c r="H189" s="0">
        <v>12</v>
      </c>
      <c r="I189" s="0">
        <v>47</v>
      </c>
      <c r="J189" s="0">
        <v>2079</v>
      </c>
    </row>
    <row r="190">
      <c r="A190" s="0" t="s">
        <v>28</v>
      </c>
      <c r="B190" s="0" t="s">
        <v>30</v>
      </c>
      <c r="C190" s="0" t="s">
        <v>196</v>
      </c>
      <c r="D190" s="0" t="s">
        <v>311</v>
      </c>
      <c r="E190" s="0" t="s">
        <v>154</v>
      </c>
      <c r="F190" s="0" t="s">
        <v>425</v>
      </c>
      <c r="G190" s="0" t="s">
        <v>424</v>
      </c>
      <c r="H190" s="0">
        <v>12</v>
      </c>
      <c r="I190" s="0">
        <v>47</v>
      </c>
      <c r="J190" s="0">
        <v>2079</v>
      </c>
    </row>
    <row r="191">
      <c r="A191" s="0" t="s">
        <v>28</v>
      </c>
      <c r="B191" s="0" t="s">
        <v>30</v>
      </c>
      <c r="C191" s="0" t="s">
        <v>196</v>
      </c>
      <c r="D191" s="0" t="s">
        <v>311</v>
      </c>
      <c r="E191" s="0" t="s">
        <v>154</v>
      </c>
      <c r="F191" s="0" t="s">
        <v>426</v>
      </c>
      <c r="G191" s="0" t="s">
        <v>114</v>
      </c>
      <c r="H191" s="0">
        <v>12</v>
      </c>
      <c r="I191" s="0">
        <v>47</v>
      </c>
      <c r="J191" s="0">
        <v>2079</v>
      </c>
    </row>
    <row r="192">
      <c r="A192" s="0" t="s">
        <v>28</v>
      </c>
      <c r="B192" s="0" t="s">
        <v>30</v>
      </c>
      <c r="C192" s="0" t="s">
        <v>196</v>
      </c>
      <c r="D192" s="0" t="s">
        <v>311</v>
      </c>
      <c r="E192" s="0" t="s">
        <v>154</v>
      </c>
      <c r="F192" s="0" t="s">
        <v>427</v>
      </c>
      <c r="G192" s="0" t="s">
        <v>428</v>
      </c>
      <c r="H192" s="0">
        <v>12</v>
      </c>
      <c r="I192" s="0">
        <v>47</v>
      </c>
      <c r="J192" s="0">
        <v>2079</v>
      </c>
    </row>
    <row r="193">
      <c r="A193" s="0" t="s">
        <v>28</v>
      </c>
      <c r="B193" s="0" t="s">
        <v>30</v>
      </c>
      <c r="C193" s="0" t="s">
        <v>196</v>
      </c>
      <c r="D193" s="0" t="s">
        <v>311</v>
      </c>
      <c r="E193" s="0" t="s">
        <v>154</v>
      </c>
      <c r="F193" s="0" t="s">
        <v>429</v>
      </c>
      <c r="G193" s="0" t="s">
        <v>430</v>
      </c>
      <c r="H193" s="0">
        <v>12</v>
      </c>
      <c r="I193" s="0">
        <v>47</v>
      </c>
      <c r="J193" s="0">
        <v>2079</v>
      </c>
    </row>
    <row r="194">
      <c r="A194" s="0" t="s">
        <v>28</v>
      </c>
      <c r="B194" s="0" t="s">
        <v>30</v>
      </c>
      <c r="C194" s="0" t="s">
        <v>196</v>
      </c>
      <c r="D194" s="0" t="s">
        <v>311</v>
      </c>
      <c r="E194" s="0" t="s">
        <v>154</v>
      </c>
      <c r="F194" s="0" t="s">
        <v>431</v>
      </c>
      <c r="G194" s="0" t="s">
        <v>432</v>
      </c>
      <c r="H194" s="0">
        <v>12</v>
      </c>
      <c r="I194" s="0">
        <v>47</v>
      </c>
      <c r="J194" s="0">
        <v>2079</v>
      </c>
    </row>
    <row r="195">
      <c r="A195" s="0" t="s">
        <v>28</v>
      </c>
      <c r="B195" s="0" t="s">
        <v>30</v>
      </c>
      <c r="C195" s="0" t="s">
        <v>196</v>
      </c>
      <c r="D195" s="0" t="s">
        <v>311</v>
      </c>
      <c r="E195" s="0" t="s">
        <v>154</v>
      </c>
      <c r="F195" s="0" t="s">
        <v>433</v>
      </c>
      <c r="G195" s="0" t="s">
        <v>434</v>
      </c>
      <c r="H195" s="0">
        <v>12</v>
      </c>
      <c r="I195" s="0">
        <v>47</v>
      </c>
      <c r="J195" s="0">
        <v>2079</v>
      </c>
    </row>
    <row r="196">
      <c r="A196" s="0" t="s">
        <v>28</v>
      </c>
      <c r="B196" s="0" t="s">
        <v>30</v>
      </c>
      <c r="C196" s="0" t="s">
        <v>196</v>
      </c>
      <c r="D196" s="0" t="s">
        <v>311</v>
      </c>
      <c r="E196" s="0" t="s">
        <v>154</v>
      </c>
      <c r="F196" s="0" t="s">
        <v>333</v>
      </c>
      <c r="G196" s="0" t="s">
        <v>335</v>
      </c>
      <c r="H196" s="0">
        <v>12</v>
      </c>
      <c r="I196" s="0">
        <v>47</v>
      </c>
      <c r="J196" s="0">
        <v>2079</v>
      </c>
    </row>
    <row r="197">
      <c r="A197" s="0" t="s">
        <v>28</v>
      </c>
      <c r="B197" s="0" t="s">
        <v>30</v>
      </c>
      <c r="C197" s="0" t="s">
        <v>196</v>
      </c>
      <c r="D197" s="0" t="s">
        <v>311</v>
      </c>
      <c r="E197" s="0" t="s">
        <v>154</v>
      </c>
      <c r="F197" s="0" t="s">
        <v>435</v>
      </c>
      <c r="G197" s="0" t="s">
        <v>344</v>
      </c>
      <c r="H197" s="0">
        <v>12</v>
      </c>
      <c r="I197" s="0">
        <v>47</v>
      </c>
      <c r="J197" s="0">
        <v>2079</v>
      </c>
    </row>
    <row r="198">
      <c r="A198" s="0" t="s">
        <v>28</v>
      </c>
      <c r="B198" s="0" t="s">
        <v>30</v>
      </c>
      <c r="C198" s="0" t="s">
        <v>196</v>
      </c>
      <c r="D198" s="0" t="s">
        <v>311</v>
      </c>
      <c r="E198" s="0" t="s">
        <v>154</v>
      </c>
      <c r="F198" s="0" t="s">
        <v>436</v>
      </c>
      <c r="G198" s="0" t="s">
        <v>437</v>
      </c>
      <c r="H198" s="0">
        <v>12</v>
      </c>
      <c r="I198" s="0">
        <v>47</v>
      </c>
      <c r="J198" s="0">
        <v>2079</v>
      </c>
    </row>
    <row r="199">
      <c r="A199" s="0" t="s">
        <v>28</v>
      </c>
      <c r="B199" s="0" t="s">
        <v>30</v>
      </c>
      <c r="C199" s="0" t="s">
        <v>196</v>
      </c>
      <c r="D199" s="0" t="s">
        <v>317</v>
      </c>
      <c r="E199" s="0" t="s">
        <v>154</v>
      </c>
      <c r="F199" s="0" t="s">
        <v>327</v>
      </c>
      <c r="G199" s="0" t="s">
        <v>30</v>
      </c>
      <c r="H199" s="0">
        <v>12</v>
      </c>
      <c r="I199" s="0">
        <v>47</v>
      </c>
      <c r="J199" s="0">
        <v>2080</v>
      </c>
    </row>
    <row r="200">
      <c r="A200" s="0" t="s">
        <v>28</v>
      </c>
      <c r="B200" s="0" t="s">
        <v>30</v>
      </c>
      <c r="C200" s="0" t="s">
        <v>196</v>
      </c>
      <c r="D200" s="0" t="s">
        <v>317</v>
      </c>
      <c r="E200" s="0" t="s">
        <v>154</v>
      </c>
      <c r="F200" s="0" t="s">
        <v>328</v>
      </c>
      <c r="G200" s="0" t="s">
        <v>317</v>
      </c>
      <c r="H200" s="0">
        <v>12</v>
      </c>
      <c r="I200" s="0">
        <v>47</v>
      </c>
      <c r="J200" s="0">
        <v>2080</v>
      </c>
    </row>
    <row r="201">
      <c r="A201" s="0" t="s">
        <v>28</v>
      </c>
      <c r="B201" s="0" t="s">
        <v>30</v>
      </c>
      <c r="C201" s="0" t="s">
        <v>196</v>
      </c>
      <c r="D201" s="0" t="s">
        <v>317</v>
      </c>
      <c r="E201" s="0" t="s">
        <v>154</v>
      </c>
      <c r="F201" s="0" t="s">
        <v>329</v>
      </c>
      <c r="G201" s="0" t="s">
        <v>196</v>
      </c>
      <c r="H201" s="0">
        <v>12</v>
      </c>
      <c r="I201" s="0">
        <v>47</v>
      </c>
      <c r="J201" s="0">
        <v>2080</v>
      </c>
    </row>
    <row r="202">
      <c r="A202" s="0" t="s">
        <v>28</v>
      </c>
      <c r="B202" s="0" t="s">
        <v>30</v>
      </c>
      <c r="C202" s="0" t="s">
        <v>196</v>
      </c>
      <c r="D202" s="0" t="s">
        <v>317</v>
      </c>
      <c r="E202" s="0" t="s">
        <v>154</v>
      </c>
      <c r="F202" s="0" t="s">
        <v>423</v>
      </c>
      <c r="G202" s="0" t="s">
        <v>438</v>
      </c>
      <c r="H202" s="0">
        <v>12</v>
      </c>
      <c r="I202" s="0">
        <v>47</v>
      </c>
      <c r="J202" s="0">
        <v>2080</v>
      </c>
    </row>
    <row r="203">
      <c r="A203" s="0" t="s">
        <v>28</v>
      </c>
      <c r="B203" s="0" t="s">
        <v>30</v>
      </c>
      <c r="C203" s="0" t="s">
        <v>196</v>
      </c>
      <c r="D203" s="0" t="s">
        <v>317</v>
      </c>
      <c r="E203" s="0" t="s">
        <v>154</v>
      </c>
      <c r="F203" s="0" t="s">
        <v>425</v>
      </c>
      <c r="G203" s="0" t="s">
        <v>438</v>
      </c>
      <c r="H203" s="0">
        <v>12</v>
      </c>
      <c r="I203" s="0">
        <v>47</v>
      </c>
      <c r="J203" s="0">
        <v>2080</v>
      </c>
    </row>
    <row r="204">
      <c r="A204" s="0" t="s">
        <v>28</v>
      </c>
      <c r="B204" s="0" t="s">
        <v>30</v>
      </c>
      <c r="C204" s="0" t="s">
        <v>196</v>
      </c>
      <c r="D204" s="0" t="s">
        <v>317</v>
      </c>
      <c r="E204" s="0" t="s">
        <v>154</v>
      </c>
      <c r="F204" s="0" t="s">
        <v>426</v>
      </c>
      <c r="G204" s="0" t="s">
        <v>114</v>
      </c>
      <c r="H204" s="0">
        <v>12</v>
      </c>
      <c r="I204" s="0">
        <v>47</v>
      </c>
      <c r="J204" s="0">
        <v>2080</v>
      </c>
    </row>
    <row r="205">
      <c r="A205" s="0" t="s">
        <v>28</v>
      </c>
      <c r="B205" s="0" t="s">
        <v>30</v>
      </c>
      <c r="C205" s="0" t="s">
        <v>196</v>
      </c>
      <c r="D205" s="0" t="s">
        <v>317</v>
      </c>
      <c r="E205" s="0" t="s">
        <v>154</v>
      </c>
      <c r="F205" s="0" t="s">
        <v>427</v>
      </c>
      <c r="G205" s="0" t="s">
        <v>439</v>
      </c>
      <c r="H205" s="0">
        <v>12</v>
      </c>
      <c r="I205" s="0">
        <v>47</v>
      </c>
      <c r="J205" s="0">
        <v>2080</v>
      </c>
    </row>
    <row r="206">
      <c r="A206" s="0" t="s">
        <v>28</v>
      </c>
      <c r="B206" s="0" t="s">
        <v>30</v>
      </c>
      <c r="C206" s="0" t="s">
        <v>196</v>
      </c>
      <c r="D206" s="0" t="s">
        <v>317</v>
      </c>
      <c r="E206" s="0" t="s">
        <v>154</v>
      </c>
      <c r="F206" s="0" t="s">
        <v>429</v>
      </c>
      <c r="G206" s="0" t="s">
        <v>430</v>
      </c>
      <c r="H206" s="0">
        <v>12</v>
      </c>
      <c r="I206" s="0">
        <v>47</v>
      </c>
      <c r="J206" s="0">
        <v>2080</v>
      </c>
    </row>
    <row r="207">
      <c r="A207" s="0" t="s">
        <v>28</v>
      </c>
      <c r="B207" s="0" t="s">
        <v>30</v>
      </c>
      <c r="C207" s="0" t="s">
        <v>196</v>
      </c>
      <c r="D207" s="0" t="s">
        <v>317</v>
      </c>
      <c r="E207" s="0" t="s">
        <v>154</v>
      </c>
      <c r="F207" s="0" t="s">
        <v>431</v>
      </c>
      <c r="G207" s="0" t="s">
        <v>432</v>
      </c>
      <c r="H207" s="0">
        <v>12</v>
      </c>
      <c r="I207" s="0">
        <v>47</v>
      </c>
      <c r="J207" s="0">
        <v>2080</v>
      </c>
    </row>
    <row r="208">
      <c r="A208" s="0" t="s">
        <v>28</v>
      </c>
      <c r="B208" s="0" t="s">
        <v>30</v>
      </c>
      <c r="C208" s="0" t="s">
        <v>196</v>
      </c>
      <c r="D208" s="0" t="s">
        <v>317</v>
      </c>
      <c r="E208" s="0" t="s">
        <v>154</v>
      </c>
      <c r="F208" s="0" t="s">
        <v>433</v>
      </c>
      <c r="G208" s="0" t="s">
        <v>434</v>
      </c>
      <c r="H208" s="0">
        <v>12</v>
      </c>
      <c r="I208" s="0">
        <v>47</v>
      </c>
      <c r="J208" s="0">
        <v>2080</v>
      </c>
    </row>
    <row r="209">
      <c r="A209" s="0" t="s">
        <v>28</v>
      </c>
      <c r="B209" s="0" t="s">
        <v>30</v>
      </c>
      <c r="C209" s="0" t="s">
        <v>196</v>
      </c>
      <c r="D209" s="0" t="s">
        <v>317</v>
      </c>
      <c r="E209" s="0" t="s">
        <v>154</v>
      </c>
      <c r="F209" s="0" t="s">
        <v>333</v>
      </c>
      <c r="G209" s="0" t="s">
        <v>335</v>
      </c>
      <c r="H209" s="0">
        <v>12</v>
      </c>
      <c r="I209" s="0">
        <v>47</v>
      </c>
      <c r="J209" s="0">
        <v>2080</v>
      </c>
    </row>
    <row r="210">
      <c r="A210" s="0" t="s">
        <v>28</v>
      </c>
      <c r="B210" s="0" t="s">
        <v>30</v>
      </c>
      <c r="C210" s="0" t="s">
        <v>196</v>
      </c>
      <c r="D210" s="0" t="s">
        <v>317</v>
      </c>
      <c r="E210" s="0" t="s">
        <v>154</v>
      </c>
      <c r="F210" s="0" t="s">
        <v>435</v>
      </c>
      <c r="G210" s="0" t="s">
        <v>344</v>
      </c>
      <c r="H210" s="0">
        <v>12</v>
      </c>
      <c r="I210" s="0">
        <v>47</v>
      </c>
      <c r="J210" s="0">
        <v>2080</v>
      </c>
    </row>
    <row r="211">
      <c r="A211" s="0" t="s">
        <v>28</v>
      </c>
      <c r="B211" s="0" t="s">
        <v>30</v>
      </c>
      <c r="C211" s="0" t="s">
        <v>196</v>
      </c>
      <c r="D211" s="0" t="s">
        <v>317</v>
      </c>
      <c r="E211" s="0" t="s">
        <v>154</v>
      </c>
      <c r="F211" s="0" t="s">
        <v>436</v>
      </c>
      <c r="G211" s="0" t="s">
        <v>437</v>
      </c>
      <c r="H211" s="0">
        <v>12</v>
      </c>
      <c r="I211" s="0">
        <v>47</v>
      </c>
      <c r="J211" s="0">
        <v>2080</v>
      </c>
    </row>
    <row r="212">
      <c r="A212" s="0" t="s">
        <v>28</v>
      </c>
      <c r="B212" s="0" t="s">
        <v>30</v>
      </c>
      <c r="C212" s="0" t="s">
        <v>196</v>
      </c>
      <c r="D212" s="0" t="s">
        <v>320</v>
      </c>
      <c r="E212" s="0" t="s">
        <v>154</v>
      </c>
      <c r="F212" s="0" t="s">
        <v>327</v>
      </c>
      <c r="G212" s="0" t="s">
        <v>30</v>
      </c>
      <c r="H212" s="0">
        <v>12</v>
      </c>
      <c r="I212" s="0">
        <v>47</v>
      </c>
      <c r="J212" s="0">
        <v>2792</v>
      </c>
    </row>
    <row r="213">
      <c r="A213" s="0" t="s">
        <v>28</v>
      </c>
      <c r="B213" s="0" t="s">
        <v>30</v>
      </c>
      <c r="C213" s="0" t="s">
        <v>196</v>
      </c>
      <c r="D213" s="0" t="s">
        <v>320</v>
      </c>
      <c r="E213" s="0" t="s">
        <v>154</v>
      </c>
      <c r="F213" s="0" t="s">
        <v>328</v>
      </c>
      <c r="G213" s="0" t="s">
        <v>320</v>
      </c>
      <c r="H213" s="0">
        <v>12</v>
      </c>
      <c r="I213" s="0">
        <v>47</v>
      </c>
      <c r="J213" s="0">
        <v>2792</v>
      </c>
    </row>
    <row r="214">
      <c r="A214" s="0" t="s">
        <v>28</v>
      </c>
      <c r="B214" s="0" t="s">
        <v>30</v>
      </c>
      <c r="C214" s="0" t="s">
        <v>196</v>
      </c>
      <c r="D214" s="0" t="s">
        <v>320</v>
      </c>
      <c r="E214" s="0" t="s">
        <v>154</v>
      </c>
      <c r="F214" s="0" t="s">
        <v>329</v>
      </c>
      <c r="G214" s="0" t="s">
        <v>196</v>
      </c>
      <c r="H214" s="0">
        <v>12</v>
      </c>
      <c r="I214" s="0">
        <v>47</v>
      </c>
      <c r="J214" s="0">
        <v>2792</v>
      </c>
    </row>
    <row r="215">
      <c r="A215" s="0" t="s">
        <v>28</v>
      </c>
      <c r="B215" s="0" t="s">
        <v>30</v>
      </c>
      <c r="C215" s="0" t="s">
        <v>196</v>
      </c>
      <c r="D215" s="0" t="s">
        <v>320</v>
      </c>
      <c r="E215" s="0" t="s">
        <v>154</v>
      </c>
      <c r="F215" s="0" t="s">
        <v>423</v>
      </c>
      <c r="G215" s="0" t="s">
        <v>440</v>
      </c>
      <c r="H215" s="0">
        <v>12</v>
      </c>
      <c r="I215" s="0">
        <v>47</v>
      </c>
      <c r="J215" s="0">
        <v>2792</v>
      </c>
    </row>
    <row r="216">
      <c r="A216" s="0" t="s">
        <v>28</v>
      </c>
      <c r="B216" s="0" t="s">
        <v>30</v>
      </c>
      <c r="C216" s="0" t="s">
        <v>196</v>
      </c>
      <c r="D216" s="0" t="s">
        <v>320</v>
      </c>
      <c r="E216" s="0" t="s">
        <v>154</v>
      </c>
      <c r="F216" s="0" t="s">
        <v>425</v>
      </c>
      <c r="G216" s="0" t="s">
        <v>440</v>
      </c>
      <c r="H216" s="0">
        <v>12</v>
      </c>
      <c r="I216" s="0">
        <v>47</v>
      </c>
      <c r="J216" s="0">
        <v>2792</v>
      </c>
    </row>
    <row r="217">
      <c r="A217" s="0" t="s">
        <v>28</v>
      </c>
      <c r="B217" s="0" t="s">
        <v>30</v>
      </c>
      <c r="C217" s="0" t="s">
        <v>196</v>
      </c>
      <c r="D217" s="0" t="s">
        <v>320</v>
      </c>
      <c r="E217" s="0" t="s">
        <v>154</v>
      </c>
      <c r="F217" s="0" t="s">
        <v>426</v>
      </c>
      <c r="G217" s="0" t="s">
        <v>114</v>
      </c>
      <c r="H217" s="0">
        <v>12</v>
      </c>
      <c r="I217" s="0">
        <v>47</v>
      </c>
      <c r="J217" s="0">
        <v>2792</v>
      </c>
    </row>
    <row r="218">
      <c r="A218" s="0" t="s">
        <v>28</v>
      </c>
      <c r="B218" s="0" t="s">
        <v>30</v>
      </c>
      <c r="C218" s="0" t="s">
        <v>196</v>
      </c>
      <c r="D218" s="0" t="s">
        <v>320</v>
      </c>
      <c r="E218" s="0" t="s">
        <v>154</v>
      </c>
      <c r="F218" s="0" t="s">
        <v>427</v>
      </c>
      <c r="G218" s="0" t="s">
        <v>441</v>
      </c>
      <c r="H218" s="0">
        <v>12</v>
      </c>
      <c r="I218" s="0">
        <v>47</v>
      </c>
      <c r="J218" s="0">
        <v>2792</v>
      </c>
    </row>
    <row r="219">
      <c r="A219" s="0" t="s">
        <v>28</v>
      </c>
      <c r="B219" s="0" t="s">
        <v>30</v>
      </c>
      <c r="C219" s="0" t="s">
        <v>196</v>
      </c>
      <c r="D219" s="0" t="s">
        <v>320</v>
      </c>
      <c r="E219" s="0" t="s">
        <v>154</v>
      </c>
      <c r="F219" s="0" t="s">
        <v>429</v>
      </c>
      <c r="G219" s="0" t="s">
        <v>430</v>
      </c>
      <c r="H219" s="0">
        <v>12</v>
      </c>
      <c r="I219" s="0">
        <v>47</v>
      </c>
      <c r="J219" s="0">
        <v>2792</v>
      </c>
    </row>
    <row r="220">
      <c r="A220" s="0" t="s">
        <v>28</v>
      </c>
      <c r="B220" s="0" t="s">
        <v>30</v>
      </c>
      <c r="C220" s="0" t="s">
        <v>196</v>
      </c>
      <c r="D220" s="0" t="s">
        <v>320</v>
      </c>
      <c r="E220" s="0" t="s">
        <v>154</v>
      </c>
      <c r="F220" s="0" t="s">
        <v>431</v>
      </c>
      <c r="G220" s="0" t="s">
        <v>432</v>
      </c>
      <c r="H220" s="0">
        <v>12</v>
      </c>
      <c r="I220" s="0">
        <v>47</v>
      </c>
      <c r="J220" s="0">
        <v>2792</v>
      </c>
    </row>
    <row r="221">
      <c r="A221" s="0" t="s">
        <v>28</v>
      </c>
      <c r="B221" s="0" t="s">
        <v>30</v>
      </c>
      <c r="C221" s="0" t="s">
        <v>196</v>
      </c>
      <c r="D221" s="0" t="s">
        <v>320</v>
      </c>
      <c r="E221" s="0" t="s">
        <v>154</v>
      </c>
      <c r="F221" s="0" t="s">
        <v>433</v>
      </c>
      <c r="G221" s="0" t="s">
        <v>434</v>
      </c>
      <c r="H221" s="0">
        <v>12</v>
      </c>
      <c r="I221" s="0">
        <v>47</v>
      </c>
      <c r="J221" s="0">
        <v>2792</v>
      </c>
    </row>
    <row r="222">
      <c r="A222" s="0" t="s">
        <v>28</v>
      </c>
      <c r="B222" s="0" t="s">
        <v>30</v>
      </c>
      <c r="C222" s="0" t="s">
        <v>196</v>
      </c>
      <c r="D222" s="0" t="s">
        <v>320</v>
      </c>
      <c r="E222" s="0" t="s">
        <v>154</v>
      </c>
      <c r="F222" s="0" t="s">
        <v>333</v>
      </c>
      <c r="G222" s="0" t="s">
        <v>335</v>
      </c>
      <c r="H222" s="0">
        <v>12</v>
      </c>
      <c r="I222" s="0">
        <v>47</v>
      </c>
      <c r="J222" s="0">
        <v>2792</v>
      </c>
    </row>
    <row r="223">
      <c r="A223" s="0" t="s">
        <v>28</v>
      </c>
      <c r="B223" s="0" t="s">
        <v>30</v>
      </c>
      <c r="C223" s="0" t="s">
        <v>196</v>
      </c>
      <c r="D223" s="0" t="s">
        <v>320</v>
      </c>
      <c r="E223" s="0" t="s">
        <v>154</v>
      </c>
      <c r="F223" s="0" t="s">
        <v>435</v>
      </c>
      <c r="G223" s="0" t="s">
        <v>344</v>
      </c>
      <c r="H223" s="0">
        <v>12</v>
      </c>
      <c r="I223" s="0">
        <v>47</v>
      </c>
      <c r="J223" s="0">
        <v>2792</v>
      </c>
    </row>
    <row r="224">
      <c r="A224" s="0" t="s">
        <v>28</v>
      </c>
      <c r="B224" s="0" t="s">
        <v>30</v>
      </c>
      <c r="C224" s="0" t="s">
        <v>196</v>
      </c>
      <c r="D224" s="0" t="s">
        <v>320</v>
      </c>
      <c r="E224" s="0" t="s">
        <v>154</v>
      </c>
      <c r="F224" s="0" t="s">
        <v>436</v>
      </c>
      <c r="G224" s="0" t="s">
        <v>437</v>
      </c>
      <c r="H224" s="0">
        <v>12</v>
      </c>
      <c r="I224" s="0">
        <v>47</v>
      </c>
      <c r="J224" s="0">
        <v>2792</v>
      </c>
    </row>
  </sheetData>
  <headerFooter/>
  <tableParts>
    <tablePart r:id="rId1"/>
  </tableParts>
</worksheet>
</file>

<file path=xl/worksheets/sheet15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Startup Options'!A1", "&lt;Go&gt;")</f>
      </c>
    </row>
  </sheetData>
  <headerFooter/>
</worksheet>
</file>

<file path=xl/worksheets/sheet1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Startup Options'!A1", "&lt;Go&gt;")</f>
      </c>
    </row>
  </sheetData>
  <headerFooter/>
</worksheet>
</file>

<file path=xl/worksheets/sheet17.xml><?xml version="1.0" encoding="utf-8"?>
<worksheet xmlns:r="http://schemas.openxmlformats.org/officeDocument/2006/relationships" xmlns="http://schemas.openxmlformats.org/spreadsheetml/2006/main">
  <dimension ref="A1:J823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5" max="5" width="10" customWidth="1"/>
    <col min="6" max="6" width="25" customWidth="1"/>
    <col min="7" max="7" width="25" customWidth="1"/>
  </cols>
  <sheetData>
    <row r="1">
      <c r="A1" s="0" t="s">
        <v>0</v>
      </c>
      <c r="B1" s="1">
        <f>=HYPERLINK("#'2.Contents'!A1", "&lt;Go&gt;")</f>
      </c>
    </row>
    <row r="2">
      <c r="A2" s="0" t="s">
        <v>442</v>
      </c>
      <c r="B2" s="1">
        <f>=HYPERLINK("#'8.Node VM Properties.Type'!A1", "&lt;Go&gt;")</f>
      </c>
    </row>
    <row r="3">
      <c r="A3" s="0" t="s">
        <v>443</v>
      </c>
      <c r="B3" s="1">
        <f>=HYPERLINK("#'8.Node VM Properties.Location'!A1",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204</v>
      </c>
      <c r="E4" s="0" t="s">
        <v>149</v>
      </c>
      <c r="F4" s="0" t="s">
        <v>325</v>
      </c>
      <c r="G4" s="0" t="s">
        <v>326</v>
      </c>
      <c r="H4" s="0" t="s">
        <v>26</v>
      </c>
      <c r="I4" s="0" t="s">
        <v>150</v>
      </c>
      <c r="J4" s="0" t="s">
        <v>250</v>
      </c>
    </row>
    <row r="5">
      <c r="A5" s="0" t="s">
        <v>28</v>
      </c>
      <c r="B5" s="0" t="s">
        <v>30</v>
      </c>
      <c r="C5" s="0" t="s">
        <v>178</v>
      </c>
      <c r="D5" s="0" t="s">
        <v>260</v>
      </c>
      <c r="E5" s="0" t="s">
        <v>154</v>
      </c>
      <c r="F5" s="0" t="s">
        <v>327</v>
      </c>
      <c r="G5" s="0" t="s">
        <v>30</v>
      </c>
      <c r="H5" s="0">
        <v>12</v>
      </c>
      <c r="I5" s="0">
        <v>49</v>
      </c>
      <c r="J5" s="0">
        <v>2774</v>
      </c>
    </row>
    <row r="6">
      <c r="A6" s="0" t="s">
        <v>28</v>
      </c>
      <c r="B6" s="0" t="s">
        <v>30</v>
      </c>
      <c r="C6" s="0" t="s">
        <v>178</v>
      </c>
      <c r="D6" s="0" t="s">
        <v>260</v>
      </c>
      <c r="E6" s="0" t="s">
        <v>154</v>
      </c>
      <c r="F6" s="0" t="s">
        <v>328</v>
      </c>
      <c r="G6" s="0" t="s">
        <v>260</v>
      </c>
      <c r="H6" s="0">
        <v>12</v>
      </c>
      <c r="I6" s="0">
        <v>49</v>
      </c>
      <c r="J6" s="0">
        <v>2774</v>
      </c>
    </row>
    <row r="7">
      <c r="A7" s="0" t="s">
        <v>28</v>
      </c>
      <c r="B7" s="0" t="s">
        <v>30</v>
      </c>
      <c r="C7" s="0" t="s">
        <v>178</v>
      </c>
      <c r="D7" s="0" t="s">
        <v>260</v>
      </c>
      <c r="E7" s="0" t="s">
        <v>154</v>
      </c>
      <c r="F7" s="0" t="s">
        <v>329</v>
      </c>
      <c r="G7" s="0" t="s">
        <v>178</v>
      </c>
      <c r="H7" s="0">
        <v>12</v>
      </c>
      <c r="I7" s="0">
        <v>49</v>
      </c>
      <c r="J7" s="0">
        <v>2774</v>
      </c>
    </row>
    <row r="8">
      <c r="A8" s="0" t="s">
        <v>28</v>
      </c>
      <c r="B8" s="0" t="s">
        <v>30</v>
      </c>
      <c r="C8" s="0" t="s">
        <v>178</v>
      </c>
      <c r="D8" s="0" t="s">
        <v>260</v>
      </c>
      <c r="E8" s="0" t="s">
        <v>154</v>
      </c>
      <c r="F8" s="0" t="s">
        <v>444</v>
      </c>
      <c r="G8" s="0" t="s">
        <v>445</v>
      </c>
      <c r="H8" s="0">
        <v>12</v>
      </c>
      <c r="I8" s="0">
        <v>49</v>
      </c>
      <c r="J8" s="0">
        <v>2774</v>
      </c>
    </row>
    <row r="9">
      <c r="A9" s="0" t="s">
        <v>28</v>
      </c>
      <c r="B9" s="0" t="s">
        <v>30</v>
      </c>
      <c r="C9" s="0" t="s">
        <v>178</v>
      </c>
      <c r="D9" s="0" t="s">
        <v>260</v>
      </c>
      <c r="E9" s="0" t="s">
        <v>154</v>
      </c>
      <c r="F9" s="0" t="s">
        <v>446</v>
      </c>
      <c r="G9" s="0" t="s">
        <v>341</v>
      </c>
      <c r="H9" s="0">
        <v>12</v>
      </c>
      <c r="I9" s="0">
        <v>49</v>
      </c>
      <c r="J9" s="0">
        <v>2774</v>
      </c>
    </row>
    <row r="10">
      <c r="A10" s="0" t="s">
        <v>28</v>
      </c>
      <c r="B10" s="0" t="s">
        <v>30</v>
      </c>
      <c r="C10" s="0" t="s">
        <v>178</v>
      </c>
      <c r="D10" s="0" t="s">
        <v>260</v>
      </c>
      <c r="E10" s="0" t="s">
        <v>154</v>
      </c>
      <c r="F10" s="0" t="s">
        <v>447</v>
      </c>
      <c r="G10" s="0" t="s">
        <v>448</v>
      </c>
      <c r="H10" s="0">
        <v>12</v>
      </c>
      <c r="I10" s="0">
        <v>49</v>
      </c>
      <c r="J10" s="0">
        <v>2774</v>
      </c>
    </row>
    <row r="11">
      <c r="A11" s="0" t="s">
        <v>28</v>
      </c>
      <c r="B11" s="0" t="s">
        <v>30</v>
      </c>
      <c r="C11" s="0" t="s">
        <v>178</v>
      </c>
      <c r="D11" s="0" t="s">
        <v>260</v>
      </c>
      <c r="E11" s="0" t="s">
        <v>154</v>
      </c>
      <c r="F11" s="0" t="s">
        <v>449</v>
      </c>
      <c r="G11" s="0" t="s">
        <v>450</v>
      </c>
      <c r="H11" s="0">
        <v>12</v>
      </c>
      <c r="I11" s="0">
        <v>49</v>
      </c>
      <c r="J11" s="0">
        <v>2774</v>
      </c>
    </row>
    <row r="12">
      <c r="A12" s="0" t="s">
        <v>28</v>
      </c>
      <c r="B12" s="0" t="s">
        <v>30</v>
      </c>
      <c r="C12" s="0" t="s">
        <v>178</v>
      </c>
      <c r="D12" s="0" t="s">
        <v>260</v>
      </c>
      <c r="E12" s="0" t="s">
        <v>154</v>
      </c>
      <c r="F12" s="0" t="s">
        <v>451</v>
      </c>
      <c r="G12" s="0" t="s">
        <v>452</v>
      </c>
      <c r="H12" s="0">
        <v>12</v>
      </c>
      <c r="I12" s="0">
        <v>49</v>
      </c>
      <c r="J12" s="0">
        <v>2774</v>
      </c>
    </row>
    <row r="13">
      <c r="A13" s="0" t="s">
        <v>28</v>
      </c>
      <c r="B13" s="0" t="s">
        <v>30</v>
      </c>
      <c r="C13" s="0" t="s">
        <v>178</v>
      </c>
      <c r="D13" s="0" t="s">
        <v>260</v>
      </c>
      <c r="E13" s="0" t="s">
        <v>154</v>
      </c>
      <c r="F13" s="0" t="s">
        <v>453</v>
      </c>
      <c r="G13" s="0" t="s">
        <v>454</v>
      </c>
      <c r="H13" s="0">
        <v>12</v>
      </c>
      <c r="I13" s="0">
        <v>49</v>
      </c>
      <c r="J13" s="0">
        <v>2774</v>
      </c>
    </row>
    <row r="14">
      <c r="A14" s="0" t="s">
        <v>28</v>
      </c>
      <c r="B14" s="0" t="s">
        <v>30</v>
      </c>
      <c r="C14" s="0" t="s">
        <v>178</v>
      </c>
      <c r="D14" s="0" t="s">
        <v>260</v>
      </c>
      <c r="E14" s="0" t="s">
        <v>154</v>
      </c>
      <c r="F14" s="0" t="s">
        <v>455</v>
      </c>
      <c r="G14" s="0" t="s">
        <v>456</v>
      </c>
      <c r="H14" s="0">
        <v>12</v>
      </c>
      <c r="I14" s="0">
        <v>49</v>
      </c>
      <c r="J14" s="0">
        <v>2774</v>
      </c>
    </row>
    <row r="15">
      <c r="A15" s="0" t="s">
        <v>28</v>
      </c>
      <c r="B15" s="0" t="s">
        <v>30</v>
      </c>
      <c r="C15" s="0" t="s">
        <v>178</v>
      </c>
      <c r="D15" s="0" t="s">
        <v>260</v>
      </c>
      <c r="E15" s="0" t="s">
        <v>154</v>
      </c>
      <c r="F15" s="0" t="s">
        <v>457</v>
      </c>
      <c r="G15" s="0" t="s">
        <v>458</v>
      </c>
      <c r="H15" s="0">
        <v>12</v>
      </c>
      <c r="I15" s="0">
        <v>49</v>
      </c>
      <c r="J15" s="0">
        <v>2774</v>
      </c>
    </row>
    <row r="16">
      <c r="A16" s="0" t="s">
        <v>28</v>
      </c>
      <c r="B16" s="0" t="s">
        <v>30</v>
      </c>
      <c r="C16" s="0" t="s">
        <v>178</v>
      </c>
      <c r="D16" s="0" t="s">
        <v>260</v>
      </c>
      <c r="E16" s="0" t="s">
        <v>154</v>
      </c>
      <c r="F16" s="0" t="s">
        <v>459</v>
      </c>
      <c r="G16" s="0" t="s">
        <v>267</v>
      </c>
      <c r="H16" s="0">
        <v>12</v>
      </c>
      <c r="I16" s="0">
        <v>49</v>
      </c>
      <c r="J16" s="0">
        <v>2774</v>
      </c>
    </row>
    <row r="17">
      <c r="A17" s="0" t="s">
        <v>28</v>
      </c>
      <c r="B17" s="0" t="s">
        <v>30</v>
      </c>
      <c r="C17" s="0" t="s">
        <v>178</v>
      </c>
      <c r="D17" s="0" t="s">
        <v>260</v>
      </c>
      <c r="E17" s="0" t="s">
        <v>154</v>
      </c>
      <c r="F17" s="0" t="s">
        <v>460</v>
      </c>
      <c r="G17" s="0" t="s">
        <v>268</v>
      </c>
      <c r="H17" s="0">
        <v>12</v>
      </c>
      <c r="I17" s="0">
        <v>49</v>
      </c>
      <c r="J17" s="0">
        <v>2774</v>
      </c>
    </row>
    <row r="18">
      <c r="A18" s="0" t="s">
        <v>28</v>
      </c>
      <c r="B18" s="0" t="s">
        <v>30</v>
      </c>
      <c r="C18" s="0" t="s">
        <v>178</v>
      </c>
      <c r="D18" s="0" t="s">
        <v>260</v>
      </c>
      <c r="E18" s="0" t="s">
        <v>154</v>
      </c>
      <c r="F18" s="0" t="s">
        <v>403</v>
      </c>
      <c r="G18" s="0" t="s">
        <v>461</v>
      </c>
      <c r="H18" s="0">
        <v>12</v>
      </c>
      <c r="I18" s="0">
        <v>49</v>
      </c>
      <c r="J18" s="0">
        <v>2774</v>
      </c>
    </row>
    <row r="19">
      <c r="A19" s="0" t="s">
        <v>28</v>
      </c>
      <c r="B19" s="0" t="s">
        <v>30</v>
      </c>
      <c r="C19" s="0" t="s">
        <v>178</v>
      </c>
      <c r="D19" s="0" t="s">
        <v>260</v>
      </c>
      <c r="E19" s="0" t="s">
        <v>154</v>
      </c>
      <c r="F19" s="0" t="s">
        <v>462</v>
      </c>
      <c r="G19" s="0" t="s">
        <v>463</v>
      </c>
      <c r="H19" s="0">
        <v>12</v>
      </c>
      <c r="I19" s="0">
        <v>49</v>
      </c>
      <c r="J19" s="0">
        <v>2774</v>
      </c>
    </row>
    <row r="20">
      <c r="A20" s="0" t="s">
        <v>28</v>
      </c>
      <c r="B20" s="0" t="s">
        <v>30</v>
      </c>
      <c r="C20" s="0" t="s">
        <v>178</v>
      </c>
      <c r="D20" s="0" t="s">
        <v>260</v>
      </c>
      <c r="E20" s="0" t="s">
        <v>154</v>
      </c>
      <c r="F20" s="0" t="s">
        <v>464</v>
      </c>
      <c r="G20" s="0" t="s">
        <v>269</v>
      </c>
      <c r="H20" s="0">
        <v>12</v>
      </c>
      <c r="I20" s="0">
        <v>49</v>
      </c>
      <c r="J20" s="0">
        <v>2774</v>
      </c>
    </row>
    <row r="21">
      <c r="A21" s="0" t="s">
        <v>28</v>
      </c>
      <c r="B21" s="0" t="s">
        <v>30</v>
      </c>
      <c r="C21" s="0" t="s">
        <v>178</v>
      </c>
      <c r="D21" s="0" t="s">
        <v>260</v>
      </c>
      <c r="E21" s="0" t="s">
        <v>154</v>
      </c>
      <c r="F21" s="0" t="s">
        <v>427</v>
      </c>
      <c r="G21" s="0" t="s">
        <v>465</v>
      </c>
      <c r="H21" s="0">
        <v>12</v>
      </c>
      <c r="I21" s="0">
        <v>49</v>
      </c>
      <c r="J21" s="0">
        <v>2774</v>
      </c>
    </row>
    <row r="22">
      <c r="A22" s="0" t="s">
        <v>28</v>
      </c>
      <c r="B22" s="0" t="s">
        <v>30</v>
      </c>
      <c r="C22" s="0" t="s">
        <v>178</v>
      </c>
      <c r="D22" s="0" t="s">
        <v>260</v>
      </c>
      <c r="E22" s="0" t="s">
        <v>154</v>
      </c>
      <c r="F22" s="0" t="s">
        <v>429</v>
      </c>
      <c r="G22" s="0" t="s">
        <v>466</v>
      </c>
      <c r="H22" s="0">
        <v>12</v>
      </c>
      <c r="I22" s="0">
        <v>49</v>
      </c>
      <c r="J22" s="0">
        <v>2774</v>
      </c>
    </row>
    <row r="23">
      <c r="A23" s="0" t="s">
        <v>28</v>
      </c>
      <c r="B23" s="0" t="s">
        <v>30</v>
      </c>
      <c r="C23" s="0" t="s">
        <v>178</v>
      </c>
      <c r="D23" s="0" t="s">
        <v>260</v>
      </c>
      <c r="E23" s="0" t="s">
        <v>154</v>
      </c>
      <c r="F23" s="0" t="s">
        <v>467</v>
      </c>
      <c r="G23" s="0" t="s">
        <v>270</v>
      </c>
      <c r="H23" s="0">
        <v>12</v>
      </c>
      <c r="I23" s="0">
        <v>49</v>
      </c>
      <c r="J23" s="0">
        <v>2774</v>
      </c>
    </row>
    <row r="24">
      <c r="A24" s="0" t="s">
        <v>28</v>
      </c>
      <c r="B24" s="0" t="s">
        <v>30</v>
      </c>
      <c r="C24" s="0" t="s">
        <v>178</v>
      </c>
      <c r="D24" s="0" t="s">
        <v>260</v>
      </c>
      <c r="E24" s="0" t="s">
        <v>154</v>
      </c>
      <c r="F24" s="0" t="s">
        <v>468</v>
      </c>
      <c r="G24" s="0" t="s">
        <v>271</v>
      </c>
      <c r="H24" s="0">
        <v>12</v>
      </c>
      <c r="I24" s="0">
        <v>49</v>
      </c>
      <c r="J24" s="0">
        <v>2774</v>
      </c>
    </row>
    <row r="25">
      <c r="A25" s="0" t="s">
        <v>28</v>
      </c>
      <c r="B25" s="0" t="s">
        <v>30</v>
      </c>
      <c r="C25" s="0" t="s">
        <v>178</v>
      </c>
      <c r="D25" s="0" t="s">
        <v>260</v>
      </c>
      <c r="E25" s="0" t="s">
        <v>154</v>
      </c>
      <c r="F25" s="0" t="s">
        <v>469</v>
      </c>
      <c r="G25" s="0" t="s">
        <v>470</v>
      </c>
      <c r="H25" s="0">
        <v>12</v>
      </c>
      <c r="I25" s="0">
        <v>49</v>
      </c>
      <c r="J25" s="0">
        <v>2774</v>
      </c>
    </row>
    <row r="26">
      <c r="A26" s="0" t="s">
        <v>28</v>
      </c>
      <c r="B26" s="0" t="s">
        <v>30</v>
      </c>
      <c r="C26" s="0" t="s">
        <v>178</v>
      </c>
      <c r="D26" s="0" t="s">
        <v>260</v>
      </c>
      <c r="E26" s="0" t="s">
        <v>154</v>
      </c>
      <c r="F26" s="0" t="s">
        <v>471</v>
      </c>
      <c r="G26" s="0" t="s">
        <v>272</v>
      </c>
      <c r="H26" s="0">
        <v>12</v>
      </c>
      <c r="I26" s="0">
        <v>49</v>
      </c>
      <c r="J26" s="0">
        <v>2774</v>
      </c>
    </row>
    <row r="27">
      <c r="A27" s="0" t="s">
        <v>28</v>
      </c>
      <c r="B27" s="0" t="s">
        <v>30</v>
      </c>
      <c r="C27" s="0" t="s">
        <v>178</v>
      </c>
      <c r="D27" s="0" t="s">
        <v>260</v>
      </c>
      <c r="E27" s="0" t="s">
        <v>154</v>
      </c>
      <c r="F27" s="0" t="s">
        <v>472</v>
      </c>
      <c r="G27" s="0" t="s">
        <v>473</v>
      </c>
      <c r="H27" s="0">
        <v>12</v>
      </c>
      <c r="I27" s="0">
        <v>49</v>
      </c>
      <c r="J27" s="0">
        <v>2774</v>
      </c>
    </row>
    <row r="28">
      <c r="A28" s="0" t="s">
        <v>28</v>
      </c>
      <c r="B28" s="0" t="s">
        <v>30</v>
      </c>
      <c r="C28" s="0" t="s">
        <v>178</v>
      </c>
      <c r="D28" s="0" t="s">
        <v>260</v>
      </c>
      <c r="E28" s="0" t="s">
        <v>154</v>
      </c>
      <c r="F28" s="0" t="s">
        <v>331</v>
      </c>
      <c r="G28" s="0" t="s">
        <v>332</v>
      </c>
      <c r="H28" s="0">
        <v>12</v>
      </c>
      <c r="I28" s="0">
        <v>49</v>
      </c>
      <c r="J28" s="0">
        <v>2774</v>
      </c>
    </row>
    <row r="29">
      <c r="A29" s="0" t="s">
        <v>28</v>
      </c>
      <c r="B29" s="0" t="s">
        <v>30</v>
      </c>
      <c r="C29" s="0" t="s">
        <v>178</v>
      </c>
      <c r="D29" s="0" t="s">
        <v>260</v>
      </c>
      <c r="E29" s="0" t="s">
        <v>154</v>
      </c>
      <c r="F29" s="0" t="s">
        <v>474</v>
      </c>
      <c r="G29" s="0" t="s">
        <v>272</v>
      </c>
      <c r="H29" s="0">
        <v>12</v>
      </c>
      <c r="I29" s="0">
        <v>49</v>
      </c>
      <c r="J29" s="0">
        <v>2774</v>
      </c>
    </row>
    <row r="30">
      <c r="A30" s="0" t="s">
        <v>28</v>
      </c>
      <c r="B30" s="0" t="s">
        <v>30</v>
      </c>
      <c r="C30" s="0" t="s">
        <v>178</v>
      </c>
      <c r="D30" s="0" t="s">
        <v>260</v>
      </c>
      <c r="E30" s="0" t="s">
        <v>154</v>
      </c>
      <c r="F30" s="0" t="s">
        <v>475</v>
      </c>
      <c r="G30" s="0" t="s">
        <v>476</v>
      </c>
      <c r="H30" s="0">
        <v>12</v>
      </c>
      <c r="I30" s="0">
        <v>49</v>
      </c>
      <c r="J30" s="0">
        <v>2774</v>
      </c>
    </row>
    <row r="31">
      <c r="A31" s="0" t="s">
        <v>28</v>
      </c>
      <c r="B31" s="0" t="s">
        <v>30</v>
      </c>
      <c r="C31" s="0" t="s">
        <v>178</v>
      </c>
      <c r="D31" s="0" t="s">
        <v>260</v>
      </c>
      <c r="E31" s="0" t="s">
        <v>154</v>
      </c>
      <c r="F31" s="0" t="s">
        <v>477</v>
      </c>
      <c r="G31" s="0" t="s">
        <v>478</v>
      </c>
      <c r="H31" s="0">
        <v>12</v>
      </c>
      <c r="I31" s="0">
        <v>49</v>
      </c>
      <c r="J31" s="0">
        <v>2774</v>
      </c>
    </row>
    <row r="32">
      <c r="A32" s="0" t="s">
        <v>28</v>
      </c>
      <c r="B32" s="0" t="s">
        <v>30</v>
      </c>
      <c r="C32" s="0" t="s">
        <v>178</v>
      </c>
      <c r="D32" s="0" t="s">
        <v>260</v>
      </c>
      <c r="E32" s="0" t="s">
        <v>154</v>
      </c>
      <c r="F32" s="0" t="s">
        <v>479</v>
      </c>
      <c r="G32" s="0" t="s">
        <v>273</v>
      </c>
      <c r="H32" s="0">
        <v>12</v>
      </c>
      <c r="I32" s="0">
        <v>49</v>
      </c>
      <c r="J32" s="0">
        <v>2774</v>
      </c>
    </row>
    <row r="33">
      <c r="A33" s="0" t="s">
        <v>28</v>
      </c>
      <c r="B33" s="0" t="s">
        <v>30</v>
      </c>
      <c r="C33" s="0" t="s">
        <v>178</v>
      </c>
      <c r="D33" s="0" t="s">
        <v>260</v>
      </c>
      <c r="E33" s="0" t="s">
        <v>154</v>
      </c>
      <c r="F33" s="0" t="s">
        <v>480</v>
      </c>
      <c r="G33" s="0" t="s">
        <v>274</v>
      </c>
      <c r="H33" s="0">
        <v>12</v>
      </c>
      <c r="I33" s="0">
        <v>49</v>
      </c>
      <c r="J33" s="0">
        <v>2774</v>
      </c>
    </row>
    <row r="34">
      <c r="A34" s="0" t="s">
        <v>28</v>
      </c>
      <c r="B34" s="0" t="s">
        <v>30</v>
      </c>
      <c r="C34" s="0" t="s">
        <v>178</v>
      </c>
      <c r="D34" s="0" t="s">
        <v>260</v>
      </c>
      <c r="E34" s="0" t="s">
        <v>154</v>
      </c>
      <c r="F34" s="0" t="s">
        <v>481</v>
      </c>
      <c r="G34" s="0" t="s">
        <v>275</v>
      </c>
      <c r="H34" s="0">
        <v>12</v>
      </c>
      <c r="I34" s="0">
        <v>49</v>
      </c>
      <c r="J34" s="0">
        <v>2774</v>
      </c>
    </row>
    <row r="35">
      <c r="A35" s="0" t="s">
        <v>28</v>
      </c>
      <c r="B35" s="0" t="s">
        <v>30</v>
      </c>
      <c r="C35" s="0" t="s">
        <v>178</v>
      </c>
      <c r="D35" s="0" t="s">
        <v>260</v>
      </c>
      <c r="E35" s="0" t="s">
        <v>154</v>
      </c>
      <c r="F35" s="0" t="s">
        <v>482</v>
      </c>
      <c r="G35" s="0" t="s">
        <v>483</v>
      </c>
      <c r="H35" s="0">
        <v>12</v>
      </c>
      <c r="I35" s="0">
        <v>49</v>
      </c>
      <c r="J35" s="0">
        <v>2774</v>
      </c>
    </row>
    <row r="36">
      <c r="A36" s="0" t="s">
        <v>28</v>
      </c>
      <c r="B36" s="0" t="s">
        <v>30</v>
      </c>
      <c r="C36" s="0" t="s">
        <v>178</v>
      </c>
      <c r="D36" s="0" t="s">
        <v>260</v>
      </c>
      <c r="E36" s="0" t="s">
        <v>154</v>
      </c>
      <c r="F36" s="0" t="s">
        <v>484</v>
      </c>
      <c r="G36" s="0" t="s">
        <v>272</v>
      </c>
      <c r="H36" s="0">
        <v>12</v>
      </c>
      <c r="I36" s="0">
        <v>49</v>
      </c>
      <c r="J36" s="0">
        <v>2774</v>
      </c>
    </row>
    <row r="37">
      <c r="A37" s="0" t="s">
        <v>28</v>
      </c>
      <c r="B37" s="0" t="s">
        <v>30</v>
      </c>
      <c r="C37" s="0" t="s">
        <v>178</v>
      </c>
      <c r="D37" s="0" t="s">
        <v>260</v>
      </c>
      <c r="E37" s="0" t="s">
        <v>154</v>
      </c>
      <c r="F37" s="0" t="s">
        <v>485</v>
      </c>
      <c r="G37" s="0" t="s">
        <v>473</v>
      </c>
      <c r="H37" s="0">
        <v>12</v>
      </c>
      <c r="I37" s="0">
        <v>49</v>
      </c>
      <c r="J37" s="0">
        <v>2774</v>
      </c>
    </row>
    <row r="38">
      <c r="A38" s="0" t="s">
        <v>28</v>
      </c>
      <c r="B38" s="0" t="s">
        <v>30</v>
      </c>
      <c r="C38" s="0" t="s">
        <v>178</v>
      </c>
      <c r="D38" s="0" t="s">
        <v>260</v>
      </c>
      <c r="E38" s="0" t="s">
        <v>154</v>
      </c>
      <c r="F38" s="0" t="s">
        <v>486</v>
      </c>
      <c r="G38" s="0" t="s">
        <v>272</v>
      </c>
      <c r="H38" s="0">
        <v>12</v>
      </c>
      <c r="I38" s="0">
        <v>49</v>
      </c>
      <c r="J38" s="0">
        <v>2774</v>
      </c>
    </row>
    <row r="39">
      <c r="A39" s="0" t="s">
        <v>28</v>
      </c>
      <c r="B39" s="0" t="s">
        <v>30</v>
      </c>
      <c r="C39" s="0" t="s">
        <v>178</v>
      </c>
      <c r="D39" s="0" t="s">
        <v>260</v>
      </c>
      <c r="E39" s="0" t="s">
        <v>154</v>
      </c>
      <c r="F39" s="0" t="s">
        <v>487</v>
      </c>
      <c r="G39" s="0" t="s">
        <v>276</v>
      </c>
      <c r="H39" s="0">
        <v>12</v>
      </c>
      <c r="I39" s="0">
        <v>49</v>
      </c>
      <c r="J39" s="0">
        <v>2774</v>
      </c>
    </row>
    <row r="40">
      <c r="A40" s="0" t="s">
        <v>28</v>
      </c>
      <c r="B40" s="0" t="s">
        <v>30</v>
      </c>
      <c r="C40" s="0" t="s">
        <v>178</v>
      </c>
      <c r="D40" s="0" t="s">
        <v>260</v>
      </c>
      <c r="E40" s="0" t="s">
        <v>154</v>
      </c>
      <c r="F40" s="0" t="s">
        <v>488</v>
      </c>
      <c r="G40" s="0" t="s">
        <v>489</v>
      </c>
      <c r="H40" s="0">
        <v>12</v>
      </c>
      <c r="I40" s="0">
        <v>49</v>
      </c>
      <c r="J40" s="0">
        <v>2774</v>
      </c>
    </row>
    <row r="41">
      <c r="A41" s="0" t="s">
        <v>28</v>
      </c>
      <c r="B41" s="0" t="s">
        <v>30</v>
      </c>
      <c r="C41" s="0" t="s">
        <v>178</v>
      </c>
      <c r="D41" s="0" t="s">
        <v>260</v>
      </c>
      <c r="E41" s="0" t="s">
        <v>154</v>
      </c>
      <c r="F41" s="0" t="s">
        <v>490</v>
      </c>
      <c r="G41" s="0" t="s">
        <v>491</v>
      </c>
      <c r="H41" s="0">
        <v>12</v>
      </c>
      <c r="I41" s="0">
        <v>49</v>
      </c>
      <c r="J41" s="0">
        <v>2774</v>
      </c>
    </row>
    <row r="42">
      <c r="A42" s="0" t="s">
        <v>28</v>
      </c>
      <c r="B42" s="0" t="s">
        <v>30</v>
      </c>
      <c r="C42" s="0" t="s">
        <v>178</v>
      </c>
      <c r="D42" s="0" t="s">
        <v>260</v>
      </c>
      <c r="E42" s="0" t="s">
        <v>154</v>
      </c>
      <c r="F42" s="0" t="s">
        <v>492</v>
      </c>
      <c r="G42" s="0" t="s">
        <v>493</v>
      </c>
      <c r="H42" s="0">
        <v>12</v>
      </c>
      <c r="I42" s="0">
        <v>49</v>
      </c>
      <c r="J42" s="0">
        <v>2774</v>
      </c>
    </row>
    <row r="43">
      <c r="A43" s="0" t="s">
        <v>28</v>
      </c>
      <c r="B43" s="0" t="s">
        <v>30</v>
      </c>
      <c r="C43" s="0" t="s">
        <v>178</v>
      </c>
      <c r="D43" s="0" t="s">
        <v>260</v>
      </c>
      <c r="E43" s="0" t="s">
        <v>154</v>
      </c>
      <c r="F43" s="0" t="s">
        <v>494</v>
      </c>
      <c r="G43" s="0" t="s">
        <v>277</v>
      </c>
      <c r="H43" s="0">
        <v>12</v>
      </c>
      <c r="I43" s="0">
        <v>49</v>
      </c>
      <c r="J43" s="0">
        <v>2774</v>
      </c>
    </row>
    <row r="44">
      <c r="A44" s="0" t="s">
        <v>28</v>
      </c>
      <c r="B44" s="0" t="s">
        <v>30</v>
      </c>
      <c r="C44" s="0" t="s">
        <v>178</v>
      </c>
      <c r="D44" s="0" t="s">
        <v>260</v>
      </c>
      <c r="E44" s="0" t="s">
        <v>154</v>
      </c>
      <c r="F44" s="0" t="s">
        <v>495</v>
      </c>
      <c r="G44" s="0" t="s">
        <v>257</v>
      </c>
      <c r="H44" s="0">
        <v>12</v>
      </c>
      <c r="I44" s="0">
        <v>49</v>
      </c>
      <c r="J44" s="0">
        <v>2774</v>
      </c>
    </row>
    <row r="45">
      <c r="A45" s="0" t="s">
        <v>28</v>
      </c>
      <c r="B45" s="0" t="s">
        <v>30</v>
      </c>
      <c r="C45" s="0" t="s">
        <v>178</v>
      </c>
      <c r="D45" s="0" t="s">
        <v>260</v>
      </c>
      <c r="E45" s="0" t="s">
        <v>154</v>
      </c>
      <c r="F45" s="0" t="s">
        <v>496</v>
      </c>
      <c r="G45" s="0" t="s">
        <v>278</v>
      </c>
      <c r="H45" s="0">
        <v>12</v>
      </c>
      <c r="I45" s="0">
        <v>49</v>
      </c>
      <c r="J45" s="0">
        <v>2774</v>
      </c>
    </row>
    <row r="46">
      <c r="A46" s="0" t="s">
        <v>28</v>
      </c>
      <c r="B46" s="0" t="s">
        <v>30</v>
      </c>
      <c r="C46" s="0" t="s">
        <v>178</v>
      </c>
      <c r="D46" s="0" t="s">
        <v>260</v>
      </c>
      <c r="E46" s="0" t="s">
        <v>154</v>
      </c>
      <c r="F46" s="0" t="s">
        <v>497</v>
      </c>
      <c r="G46" s="0" t="s">
        <v>498</v>
      </c>
      <c r="H46" s="0">
        <v>12</v>
      </c>
      <c r="I46" s="0">
        <v>49</v>
      </c>
      <c r="J46" s="0">
        <v>2774</v>
      </c>
    </row>
    <row r="47">
      <c r="A47" s="0" t="s">
        <v>28</v>
      </c>
      <c r="B47" s="0" t="s">
        <v>30</v>
      </c>
      <c r="C47" s="0" t="s">
        <v>178</v>
      </c>
      <c r="D47" s="0" t="s">
        <v>260</v>
      </c>
      <c r="E47" s="0" t="s">
        <v>154</v>
      </c>
      <c r="F47" s="0" t="s">
        <v>499</v>
      </c>
      <c r="G47" s="0" t="s">
        <v>500</v>
      </c>
      <c r="H47" s="0">
        <v>12</v>
      </c>
      <c r="I47" s="0">
        <v>49</v>
      </c>
      <c r="J47" s="0">
        <v>2774</v>
      </c>
    </row>
    <row r="48">
      <c r="A48" s="0" t="s">
        <v>28</v>
      </c>
      <c r="B48" s="0" t="s">
        <v>30</v>
      </c>
      <c r="C48" s="0" t="s">
        <v>178</v>
      </c>
      <c r="D48" s="0" t="s">
        <v>260</v>
      </c>
      <c r="E48" s="0" t="s">
        <v>154</v>
      </c>
      <c r="F48" s="0" t="s">
        <v>501</v>
      </c>
      <c r="G48" s="0" t="s">
        <v>502</v>
      </c>
      <c r="H48" s="0">
        <v>12</v>
      </c>
      <c r="I48" s="0">
        <v>49</v>
      </c>
      <c r="J48" s="0">
        <v>2774</v>
      </c>
    </row>
    <row r="49">
      <c r="A49" s="0" t="s">
        <v>28</v>
      </c>
      <c r="B49" s="0" t="s">
        <v>30</v>
      </c>
      <c r="C49" s="0" t="s">
        <v>178</v>
      </c>
      <c r="D49" s="0" t="s">
        <v>260</v>
      </c>
      <c r="E49" s="0" t="s">
        <v>154</v>
      </c>
      <c r="F49" s="0" t="s">
        <v>503</v>
      </c>
      <c r="G49" s="0" t="s">
        <v>504</v>
      </c>
      <c r="H49" s="0">
        <v>12</v>
      </c>
      <c r="I49" s="0">
        <v>49</v>
      </c>
      <c r="J49" s="0">
        <v>2774</v>
      </c>
    </row>
    <row r="50">
      <c r="A50" s="0" t="s">
        <v>28</v>
      </c>
      <c r="B50" s="0" t="s">
        <v>30</v>
      </c>
      <c r="C50" s="0" t="s">
        <v>178</v>
      </c>
      <c r="D50" s="0" t="s">
        <v>260</v>
      </c>
      <c r="E50" s="0" t="s">
        <v>154</v>
      </c>
      <c r="F50" s="0" t="s">
        <v>505</v>
      </c>
      <c r="G50" s="0" t="s">
        <v>506</v>
      </c>
      <c r="H50" s="0">
        <v>12</v>
      </c>
      <c r="I50" s="0">
        <v>49</v>
      </c>
      <c r="J50" s="0">
        <v>2774</v>
      </c>
    </row>
    <row r="51">
      <c r="A51" s="0" t="s">
        <v>28</v>
      </c>
      <c r="B51" s="0" t="s">
        <v>30</v>
      </c>
      <c r="C51" s="0" t="s">
        <v>178</v>
      </c>
      <c r="D51" s="0" t="s">
        <v>260</v>
      </c>
      <c r="E51" s="0" t="s">
        <v>154</v>
      </c>
      <c r="F51" s="0" t="s">
        <v>507</v>
      </c>
      <c r="G51" s="0" t="s">
        <v>508</v>
      </c>
      <c r="H51" s="0">
        <v>12</v>
      </c>
      <c r="I51" s="0">
        <v>49</v>
      </c>
      <c r="J51" s="0">
        <v>2774</v>
      </c>
    </row>
    <row r="52">
      <c r="A52" s="0" t="s">
        <v>28</v>
      </c>
      <c r="B52" s="0" t="s">
        <v>30</v>
      </c>
      <c r="C52" s="0" t="s">
        <v>178</v>
      </c>
      <c r="D52" s="0" t="s">
        <v>260</v>
      </c>
      <c r="E52" s="0" t="s">
        <v>154</v>
      </c>
      <c r="F52" s="0" t="s">
        <v>509</v>
      </c>
      <c r="G52" s="0" t="s">
        <v>114</v>
      </c>
      <c r="H52" s="0">
        <v>12</v>
      </c>
      <c r="I52" s="0">
        <v>49</v>
      </c>
      <c r="J52" s="0">
        <v>2774</v>
      </c>
    </row>
    <row r="53">
      <c r="A53" s="0" t="s">
        <v>28</v>
      </c>
      <c r="B53" s="0" t="s">
        <v>30</v>
      </c>
      <c r="C53" s="0" t="s">
        <v>178</v>
      </c>
      <c r="D53" s="0" t="s">
        <v>260</v>
      </c>
      <c r="E53" s="0" t="s">
        <v>154</v>
      </c>
      <c r="F53" s="0" t="s">
        <v>510</v>
      </c>
      <c r="G53" s="0" t="s">
        <v>511</v>
      </c>
      <c r="H53" s="0">
        <v>12</v>
      </c>
      <c r="I53" s="0">
        <v>49</v>
      </c>
      <c r="J53" s="0">
        <v>2774</v>
      </c>
    </row>
    <row r="54">
      <c r="A54" s="0" t="s">
        <v>28</v>
      </c>
      <c r="B54" s="0" t="s">
        <v>30</v>
      </c>
      <c r="C54" s="0" t="s">
        <v>178</v>
      </c>
      <c r="D54" s="0" t="s">
        <v>260</v>
      </c>
      <c r="E54" s="0" t="s">
        <v>154</v>
      </c>
      <c r="F54" s="0" t="s">
        <v>512</v>
      </c>
      <c r="G54" s="0" t="s">
        <v>513</v>
      </c>
      <c r="H54" s="0">
        <v>12</v>
      </c>
      <c r="I54" s="0">
        <v>49</v>
      </c>
      <c r="J54" s="0">
        <v>2774</v>
      </c>
    </row>
    <row r="55">
      <c r="A55" s="0" t="s">
        <v>28</v>
      </c>
      <c r="B55" s="0" t="s">
        <v>30</v>
      </c>
      <c r="C55" s="0" t="s">
        <v>178</v>
      </c>
      <c r="D55" s="0" t="s">
        <v>260</v>
      </c>
      <c r="E55" s="0" t="s">
        <v>154</v>
      </c>
      <c r="F55" s="0" t="s">
        <v>514</v>
      </c>
      <c r="G55" s="0" t="s">
        <v>515</v>
      </c>
      <c r="H55" s="0">
        <v>12</v>
      </c>
      <c r="I55" s="0">
        <v>49</v>
      </c>
      <c r="J55" s="0">
        <v>2774</v>
      </c>
    </row>
    <row r="56">
      <c r="A56" s="0" t="s">
        <v>28</v>
      </c>
      <c r="B56" s="0" t="s">
        <v>30</v>
      </c>
      <c r="C56" s="0" t="s">
        <v>178</v>
      </c>
      <c r="D56" s="0" t="s">
        <v>260</v>
      </c>
      <c r="E56" s="0" t="s">
        <v>154</v>
      </c>
      <c r="F56" s="0" t="s">
        <v>516</v>
      </c>
      <c r="G56" s="0" t="s">
        <v>450</v>
      </c>
      <c r="H56" s="0">
        <v>12</v>
      </c>
      <c r="I56" s="0">
        <v>49</v>
      </c>
      <c r="J56" s="0">
        <v>2774</v>
      </c>
    </row>
    <row r="57">
      <c r="A57" s="0" t="s">
        <v>28</v>
      </c>
      <c r="B57" s="0" t="s">
        <v>30</v>
      </c>
      <c r="C57" s="0" t="s">
        <v>178</v>
      </c>
      <c r="D57" s="0" t="s">
        <v>260</v>
      </c>
      <c r="E57" s="0" t="s">
        <v>154</v>
      </c>
      <c r="F57" s="0" t="s">
        <v>517</v>
      </c>
      <c r="G57" s="0" t="s">
        <v>518</v>
      </c>
      <c r="H57" s="0">
        <v>12</v>
      </c>
      <c r="I57" s="0">
        <v>49</v>
      </c>
      <c r="J57" s="0">
        <v>2774</v>
      </c>
    </row>
    <row r="58">
      <c r="A58" s="0" t="s">
        <v>28</v>
      </c>
      <c r="B58" s="0" t="s">
        <v>30</v>
      </c>
      <c r="C58" s="0" t="s">
        <v>178</v>
      </c>
      <c r="D58" s="0" t="s">
        <v>260</v>
      </c>
      <c r="E58" s="0" t="s">
        <v>154</v>
      </c>
      <c r="F58" s="0" t="s">
        <v>519</v>
      </c>
      <c r="G58" s="0" t="s">
        <v>520</v>
      </c>
      <c r="H58" s="0">
        <v>12</v>
      </c>
      <c r="I58" s="0">
        <v>49</v>
      </c>
      <c r="J58" s="0">
        <v>2774</v>
      </c>
    </row>
    <row r="59">
      <c r="A59" s="0" t="s">
        <v>28</v>
      </c>
      <c r="B59" s="0" t="s">
        <v>30</v>
      </c>
      <c r="C59" s="0" t="s">
        <v>178</v>
      </c>
      <c r="D59" s="0" t="s">
        <v>260</v>
      </c>
      <c r="E59" s="0" t="s">
        <v>154</v>
      </c>
      <c r="F59" s="0" t="s">
        <v>521</v>
      </c>
      <c r="G59" s="0" t="s">
        <v>341</v>
      </c>
      <c r="H59" s="0">
        <v>12</v>
      </c>
      <c r="I59" s="0">
        <v>49</v>
      </c>
      <c r="J59" s="0">
        <v>2774</v>
      </c>
    </row>
    <row r="60">
      <c r="A60" s="0" t="s">
        <v>28</v>
      </c>
      <c r="B60" s="0" t="s">
        <v>30</v>
      </c>
      <c r="C60" s="0" t="s">
        <v>178</v>
      </c>
      <c r="D60" s="0" t="s">
        <v>260</v>
      </c>
      <c r="E60" s="0" t="s">
        <v>154</v>
      </c>
      <c r="F60" s="0" t="s">
        <v>522</v>
      </c>
      <c r="G60" s="0" t="s">
        <v>523</v>
      </c>
      <c r="H60" s="0">
        <v>12</v>
      </c>
      <c r="I60" s="0">
        <v>49</v>
      </c>
      <c r="J60" s="0">
        <v>2774</v>
      </c>
    </row>
    <row r="61">
      <c r="A61" s="0" t="s">
        <v>28</v>
      </c>
      <c r="B61" s="0" t="s">
        <v>30</v>
      </c>
      <c r="C61" s="0" t="s">
        <v>178</v>
      </c>
      <c r="D61" s="0" t="s">
        <v>260</v>
      </c>
      <c r="E61" s="0" t="s">
        <v>154</v>
      </c>
      <c r="F61" s="0" t="s">
        <v>524</v>
      </c>
      <c r="G61" s="0" t="s">
        <v>525</v>
      </c>
      <c r="H61" s="0">
        <v>12</v>
      </c>
      <c r="I61" s="0">
        <v>49</v>
      </c>
      <c r="J61" s="0">
        <v>2774</v>
      </c>
    </row>
    <row r="62">
      <c r="A62" s="0" t="s">
        <v>28</v>
      </c>
      <c r="B62" s="0" t="s">
        <v>30</v>
      </c>
      <c r="C62" s="0" t="s">
        <v>178</v>
      </c>
      <c r="D62" s="0" t="s">
        <v>260</v>
      </c>
      <c r="E62" s="0" t="s">
        <v>154</v>
      </c>
      <c r="F62" s="0" t="s">
        <v>526</v>
      </c>
      <c r="G62" s="0" t="s">
        <v>527</v>
      </c>
      <c r="H62" s="0">
        <v>12</v>
      </c>
      <c r="I62" s="0">
        <v>49</v>
      </c>
      <c r="J62" s="0">
        <v>2774</v>
      </c>
    </row>
    <row r="63">
      <c r="A63" s="0" t="s">
        <v>28</v>
      </c>
      <c r="B63" s="0" t="s">
        <v>30</v>
      </c>
      <c r="C63" s="0" t="s">
        <v>178</v>
      </c>
      <c r="D63" s="0" t="s">
        <v>260</v>
      </c>
      <c r="E63" s="0" t="s">
        <v>154</v>
      </c>
      <c r="F63" s="0" t="s">
        <v>528</v>
      </c>
      <c r="G63" s="0" t="s">
        <v>529</v>
      </c>
      <c r="H63" s="0">
        <v>12</v>
      </c>
      <c r="I63" s="0">
        <v>49</v>
      </c>
      <c r="J63" s="0">
        <v>2774</v>
      </c>
    </row>
    <row r="64">
      <c r="A64" s="0" t="s">
        <v>28</v>
      </c>
      <c r="B64" s="0" t="s">
        <v>30</v>
      </c>
      <c r="C64" s="0" t="s">
        <v>178</v>
      </c>
      <c r="D64" s="0" t="s">
        <v>260</v>
      </c>
      <c r="E64" s="0" t="s">
        <v>154</v>
      </c>
      <c r="F64" s="0" t="s">
        <v>530</v>
      </c>
      <c r="G64" s="0" t="s">
        <v>279</v>
      </c>
      <c r="H64" s="0">
        <v>12</v>
      </c>
      <c r="I64" s="0">
        <v>49</v>
      </c>
      <c r="J64" s="0">
        <v>2774</v>
      </c>
    </row>
    <row r="65">
      <c r="A65" s="0" t="s">
        <v>28</v>
      </c>
      <c r="B65" s="0" t="s">
        <v>30</v>
      </c>
      <c r="C65" s="0" t="s">
        <v>178</v>
      </c>
      <c r="D65" s="0" t="s">
        <v>260</v>
      </c>
      <c r="E65" s="0" t="s">
        <v>154</v>
      </c>
      <c r="F65" s="0" t="s">
        <v>531</v>
      </c>
      <c r="G65" s="0" t="s">
        <v>532</v>
      </c>
      <c r="H65" s="0">
        <v>12</v>
      </c>
      <c r="I65" s="0">
        <v>49</v>
      </c>
      <c r="J65" s="0">
        <v>2774</v>
      </c>
    </row>
    <row r="66">
      <c r="A66" s="0" t="s">
        <v>28</v>
      </c>
      <c r="B66" s="0" t="s">
        <v>30</v>
      </c>
      <c r="C66" s="0" t="s">
        <v>178</v>
      </c>
      <c r="D66" s="0" t="s">
        <v>260</v>
      </c>
      <c r="E66" s="0" t="s">
        <v>154</v>
      </c>
      <c r="F66" s="0" t="s">
        <v>336</v>
      </c>
      <c r="G66" s="0" t="s">
        <v>337</v>
      </c>
      <c r="H66" s="0">
        <v>12</v>
      </c>
      <c r="I66" s="0">
        <v>49</v>
      </c>
      <c r="J66" s="0">
        <v>2774</v>
      </c>
    </row>
    <row r="67">
      <c r="A67" s="0" t="s">
        <v>28</v>
      </c>
      <c r="B67" s="0" t="s">
        <v>30</v>
      </c>
      <c r="C67" s="0" t="s">
        <v>178</v>
      </c>
      <c r="D67" s="0" t="s">
        <v>260</v>
      </c>
      <c r="E67" s="0" t="s">
        <v>154</v>
      </c>
      <c r="F67" s="0" t="s">
        <v>338</v>
      </c>
      <c r="G67" s="0" t="s">
        <v>339</v>
      </c>
      <c r="H67" s="0">
        <v>12</v>
      </c>
      <c r="I67" s="0">
        <v>49</v>
      </c>
      <c r="J67" s="0">
        <v>2774</v>
      </c>
    </row>
    <row r="68">
      <c r="A68" s="0" t="s">
        <v>28</v>
      </c>
      <c r="B68" s="0" t="s">
        <v>30</v>
      </c>
      <c r="C68" s="0" t="s">
        <v>178</v>
      </c>
      <c r="D68" s="0" t="s">
        <v>260</v>
      </c>
      <c r="E68" s="0" t="s">
        <v>154</v>
      </c>
      <c r="F68" s="0" t="s">
        <v>340</v>
      </c>
      <c r="G68" s="0" t="s">
        <v>341</v>
      </c>
      <c r="H68" s="0">
        <v>12</v>
      </c>
      <c r="I68" s="0">
        <v>49</v>
      </c>
      <c r="J68" s="0">
        <v>2774</v>
      </c>
    </row>
    <row r="69">
      <c r="A69" s="0" t="s">
        <v>28</v>
      </c>
      <c r="B69" s="0" t="s">
        <v>30</v>
      </c>
      <c r="C69" s="0" t="s">
        <v>178</v>
      </c>
      <c r="D69" s="0" t="s">
        <v>260</v>
      </c>
      <c r="E69" s="0" t="s">
        <v>154</v>
      </c>
      <c r="F69" s="0" t="s">
        <v>342</v>
      </c>
      <c r="G69" s="0" t="s">
        <v>341</v>
      </c>
      <c r="H69" s="0">
        <v>12</v>
      </c>
      <c r="I69" s="0">
        <v>49</v>
      </c>
      <c r="J69" s="0">
        <v>2774</v>
      </c>
    </row>
    <row r="70">
      <c r="A70" s="0" t="s">
        <v>28</v>
      </c>
      <c r="B70" s="0" t="s">
        <v>30</v>
      </c>
      <c r="C70" s="0" t="s">
        <v>178</v>
      </c>
      <c r="D70" s="0" t="s">
        <v>260</v>
      </c>
      <c r="E70" s="0" t="s">
        <v>154</v>
      </c>
      <c r="F70" s="0" t="s">
        <v>343</v>
      </c>
      <c r="G70" s="0" t="s">
        <v>344</v>
      </c>
      <c r="H70" s="0">
        <v>12</v>
      </c>
      <c r="I70" s="0">
        <v>49</v>
      </c>
      <c r="J70" s="0">
        <v>2774</v>
      </c>
    </row>
    <row r="71">
      <c r="A71" s="0" t="s">
        <v>28</v>
      </c>
      <c r="B71" s="0" t="s">
        <v>30</v>
      </c>
      <c r="C71" s="0" t="s">
        <v>178</v>
      </c>
      <c r="D71" s="0" t="s">
        <v>260</v>
      </c>
      <c r="E71" s="0" t="s">
        <v>154</v>
      </c>
      <c r="F71" s="0" t="s">
        <v>345</v>
      </c>
      <c r="G71" s="0" t="s">
        <v>337</v>
      </c>
      <c r="H71" s="0">
        <v>12</v>
      </c>
      <c r="I71" s="0">
        <v>49</v>
      </c>
      <c r="J71" s="0">
        <v>2774</v>
      </c>
    </row>
    <row r="72">
      <c r="A72" s="0" t="s">
        <v>28</v>
      </c>
      <c r="B72" s="0" t="s">
        <v>30</v>
      </c>
      <c r="C72" s="0" t="s">
        <v>178</v>
      </c>
      <c r="D72" s="0" t="s">
        <v>281</v>
      </c>
      <c r="E72" s="0" t="s">
        <v>154</v>
      </c>
      <c r="F72" s="0" t="s">
        <v>327</v>
      </c>
      <c r="G72" s="0" t="s">
        <v>30</v>
      </c>
      <c r="H72" s="0">
        <v>12</v>
      </c>
      <c r="I72" s="0">
        <v>49</v>
      </c>
      <c r="J72" s="0">
        <v>2775</v>
      </c>
    </row>
    <row r="73">
      <c r="A73" s="0" t="s">
        <v>28</v>
      </c>
      <c r="B73" s="0" t="s">
        <v>30</v>
      </c>
      <c r="C73" s="0" t="s">
        <v>178</v>
      </c>
      <c r="D73" s="0" t="s">
        <v>281</v>
      </c>
      <c r="E73" s="0" t="s">
        <v>154</v>
      </c>
      <c r="F73" s="0" t="s">
        <v>328</v>
      </c>
      <c r="G73" s="0" t="s">
        <v>281</v>
      </c>
      <c r="H73" s="0">
        <v>12</v>
      </c>
      <c r="I73" s="0">
        <v>49</v>
      </c>
      <c r="J73" s="0">
        <v>2775</v>
      </c>
    </row>
    <row r="74">
      <c r="A74" s="0" t="s">
        <v>28</v>
      </c>
      <c r="B74" s="0" t="s">
        <v>30</v>
      </c>
      <c r="C74" s="0" t="s">
        <v>178</v>
      </c>
      <c r="D74" s="0" t="s">
        <v>281</v>
      </c>
      <c r="E74" s="0" t="s">
        <v>154</v>
      </c>
      <c r="F74" s="0" t="s">
        <v>329</v>
      </c>
      <c r="G74" s="0" t="s">
        <v>178</v>
      </c>
      <c r="H74" s="0">
        <v>12</v>
      </c>
      <c r="I74" s="0">
        <v>49</v>
      </c>
      <c r="J74" s="0">
        <v>2775</v>
      </c>
    </row>
    <row r="75">
      <c r="A75" s="0" t="s">
        <v>28</v>
      </c>
      <c r="B75" s="0" t="s">
        <v>30</v>
      </c>
      <c r="C75" s="0" t="s">
        <v>178</v>
      </c>
      <c r="D75" s="0" t="s">
        <v>281</v>
      </c>
      <c r="E75" s="0" t="s">
        <v>154</v>
      </c>
      <c r="F75" s="0" t="s">
        <v>444</v>
      </c>
      <c r="G75" s="0" t="s">
        <v>445</v>
      </c>
      <c r="H75" s="0">
        <v>12</v>
      </c>
      <c r="I75" s="0">
        <v>49</v>
      </c>
      <c r="J75" s="0">
        <v>2775</v>
      </c>
    </row>
    <row r="76">
      <c r="A76" s="0" t="s">
        <v>28</v>
      </c>
      <c r="B76" s="0" t="s">
        <v>30</v>
      </c>
      <c r="C76" s="0" t="s">
        <v>178</v>
      </c>
      <c r="D76" s="0" t="s">
        <v>281</v>
      </c>
      <c r="E76" s="0" t="s">
        <v>154</v>
      </c>
      <c r="F76" s="0" t="s">
        <v>446</v>
      </c>
      <c r="G76" s="0" t="s">
        <v>341</v>
      </c>
      <c r="H76" s="0">
        <v>12</v>
      </c>
      <c r="I76" s="0">
        <v>49</v>
      </c>
      <c r="J76" s="0">
        <v>2775</v>
      </c>
    </row>
    <row r="77">
      <c r="A77" s="0" t="s">
        <v>28</v>
      </c>
      <c r="B77" s="0" t="s">
        <v>30</v>
      </c>
      <c r="C77" s="0" t="s">
        <v>178</v>
      </c>
      <c r="D77" s="0" t="s">
        <v>281</v>
      </c>
      <c r="E77" s="0" t="s">
        <v>154</v>
      </c>
      <c r="F77" s="0" t="s">
        <v>447</v>
      </c>
      <c r="G77" s="0" t="s">
        <v>448</v>
      </c>
      <c r="H77" s="0">
        <v>12</v>
      </c>
      <c r="I77" s="0">
        <v>49</v>
      </c>
      <c r="J77" s="0">
        <v>2775</v>
      </c>
    </row>
    <row r="78">
      <c r="A78" s="0" t="s">
        <v>28</v>
      </c>
      <c r="B78" s="0" t="s">
        <v>30</v>
      </c>
      <c r="C78" s="0" t="s">
        <v>178</v>
      </c>
      <c r="D78" s="0" t="s">
        <v>281</v>
      </c>
      <c r="E78" s="0" t="s">
        <v>154</v>
      </c>
      <c r="F78" s="0" t="s">
        <v>449</v>
      </c>
      <c r="G78" s="0" t="s">
        <v>450</v>
      </c>
      <c r="H78" s="0">
        <v>12</v>
      </c>
      <c r="I78" s="0">
        <v>49</v>
      </c>
      <c r="J78" s="0">
        <v>2775</v>
      </c>
    </row>
    <row r="79">
      <c r="A79" s="0" t="s">
        <v>28</v>
      </c>
      <c r="B79" s="0" t="s">
        <v>30</v>
      </c>
      <c r="C79" s="0" t="s">
        <v>178</v>
      </c>
      <c r="D79" s="0" t="s">
        <v>281</v>
      </c>
      <c r="E79" s="0" t="s">
        <v>154</v>
      </c>
      <c r="F79" s="0" t="s">
        <v>451</v>
      </c>
      <c r="G79" s="0" t="s">
        <v>452</v>
      </c>
      <c r="H79" s="0">
        <v>12</v>
      </c>
      <c r="I79" s="0">
        <v>49</v>
      </c>
      <c r="J79" s="0">
        <v>2775</v>
      </c>
    </row>
    <row r="80">
      <c r="A80" s="0" t="s">
        <v>28</v>
      </c>
      <c r="B80" s="0" t="s">
        <v>30</v>
      </c>
      <c r="C80" s="0" t="s">
        <v>178</v>
      </c>
      <c r="D80" s="0" t="s">
        <v>281</v>
      </c>
      <c r="E80" s="0" t="s">
        <v>154</v>
      </c>
      <c r="F80" s="0" t="s">
        <v>453</v>
      </c>
      <c r="G80" s="0" t="s">
        <v>454</v>
      </c>
      <c r="H80" s="0">
        <v>12</v>
      </c>
      <c r="I80" s="0">
        <v>49</v>
      </c>
      <c r="J80" s="0">
        <v>2775</v>
      </c>
    </row>
    <row r="81">
      <c r="A81" s="0" t="s">
        <v>28</v>
      </c>
      <c r="B81" s="0" t="s">
        <v>30</v>
      </c>
      <c r="C81" s="0" t="s">
        <v>178</v>
      </c>
      <c r="D81" s="0" t="s">
        <v>281</v>
      </c>
      <c r="E81" s="0" t="s">
        <v>154</v>
      </c>
      <c r="F81" s="0" t="s">
        <v>455</v>
      </c>
      <c r="G81" s="0" t="s">
        <v>456</v>
      </c>
      <c r="H81" s="0">
        <v>12</v>
      </c>
      <c r="I81" s="0">
        <v>49</v>
      </c>
      <c r="J81" s="0">
        <v>2775</v>
      </c>
    </row>
    <row r="82">
      <c r="A82" s="0" t="s">
        <v>28</v>
      </c>
      <c r="B82" s="0" t="s">
        <v>30</v>
      </c>
      <c r="C82" s="0" t="s">
        <v>178</v>
      </c>
      <c r="D82" s="0" t="s">
        <v>281</v>
      </c>
      <c r="E82" s="0" t="s">
        <v>154</v>
      </c>
      <c r="F82" s="0" t="s">
        <v>457</v>
      </c>
      <c r="G82" s="0" t="s">
        <v>458</v>
      </c>
      <c r="H82" s="0">
        <v>12</v>
      </c>
      <c r="I82" s="0">
        <v>49</v>
      </c>
      <c r="J82" s="0">
        <v>2775</v>
      </c>
    </row>
    <row r="83">
      <c r="A83" s="0" t="s">
        <v>28</v>
      </c>
      <c r="B83" s="0" t="s">
        <v>30</v>
      </c>
      <c r="C83" s="0" t="s">
        <v>178</v>
      </c>
      <c r="D83" s="0" t="s">
        <v>281</v>
      </c>
      <c r="E83" s="0" t="s">
        <v>154</v>
      </c>
      <c r="F83" s="0" t="s">
        <v>459</v>
      </c>
      <c r="G83" s="0" t="s">
        <v>267</v>
      </c>
      <c r="H83" s="0">
        <v>12</v>
      </c>
      <c r="I83" s="0">
        <v>49</v>
      </c>
      <c r="J83" s="0">
        <v>2775</v>
      </c>
    </row>
    <row r="84">
      <c r="A84" s="0" t="s">
        <v>28</v>
      </c>
      <c r="B84" s="0" t="s">
        <v>30</v>
      </c>
      <c r="C84" s="0" t="s">
        <v>178</v>
      </c>
      <c r="D84" s="0" t="s">
        <v>281</v>
      </c>
      <c r="E84" s="0" t="s">
        <v>154</v>
      </c>
      <c r="F84" s="0" t="s">
        <v>460</v>
      </c>
      <c r="G84" s="0" t="s">
        <v>268</v>
      </c>
      <c r="H84" s="0">
        <v>12</v>
      </c>
      <c r="I84" s="0">
        <v>49</v>
      </c>
      <c r="J84" s="0">
        <v>2775</v>
      </c>
    </row>
    <row r="85">
      <c r="A85" s="0" t="s">
        <v>28</v>
      </c>
      <c r="B85" s="0" t="s">
        <v>30</v>
      </c>
      <c r="C85" s="0" t="s">
        <v>178</v>
      </c>
      <c r="D85" s="0" t="s">
        <v>281</v>
      </c>
      <c r="E85" s="0" t="s">
        <v>154</v>
      </c>
      <c r="F85" s="0" t="s">
        <v>403</v>
      </c>
      <c r="G85" s="0" t="s">
        <v>461</v>
      </c>
      <c r="H85" s="0">
        <v>12</v>
      </c>
      <c r="I85" s="0">
        <v>49</v>
      </c>
      <c r="J85" s="0">
        <v>2775</v>
      </c>
    </row>
    <row r="86">
      <c r="A86" s="0" t="s">
        <v>28</v>
      </c>
      <c r="B86" s="0" t="s">
        <v>30</v>
      </c>
      <c r="C86" s="0" t="s">
        <v>178</v>
      </c>
      <c r="D86" s="0" t="s">
        <v>281</v>
      </c>
      <c r="E86" s="0" t="s">
        <v>154</v>
      </c>
      <c r="F86" s="0" t="s">
        <v>462</v>
      </c>
      <c r="G86" s="0" t="s">
        <v>463</v>
      </c>
      <c r="H86" s="0">
        <v>12</v>
      </c>
      <c r="I86" s="0">
        <v>49</v>
      </c>
      <c r="J86" s="0">
        <v>2775</v>
      </c>
    </row>
    <row r="87">
      <c r="A87" s="0" t="s">
        <v>28</v>
      </c>
      <c r="B87" s="0" t="s">
        <v>30</v>
      </c>
      <c r="C87" s="0" t="s">
        <v>178</v>
      </c>
      <c r="D87" s="0" t="s">
        <v>281</v>
      </c>
      <c r="E87" s="0" t="s">
        <v>154</v>
      </c>
      <c r="F87" s="0" t="s">
        <v>464</v>
      </c>
      <c r="G87" s="0" t="s">
        <v>269</v>
      </c>
      <c r="H87" s="0">
        <v>12</v>
      </c>
      <c r="I87" s="0">
        <v>49</v>
      </c>
      <c r="J87" s="0">
        <v>2775</v>
      </c>
    </row>
    <row r="88">
      <c r="A88" s="0" t="s">
        <v>28</v>
      </c>
      <c r="B88" s="0" t="s">
        <v>30</v>
      </c>
      <c r="C88" s="0" t="s">
        <v>178</v>
      </c>
      <c r="D88" s="0" t="s">
        <v>281</v>
      </c>
      <c r="E88" s="0" t="s">
        <v>154</v>
      </c>
      <c r="F88" s="0" t="s">
        <v>427</v>
      </c>
      <c r="G88" s="0" t="s">
        <v>465</v>
      </c>
      <c r="H88" s="0">
        <v>12</v>
      </c>
      <c r="I88" s="0">
        <v>49</v>
      </c>
      <c r="J88" s="0">
        <v>2775</v>
      </c>
    </row>
    <row r="89">
      <c r="A89" s="0" t="s">
        <v>28</v>
      </c>
      <c r="B89" s="0" t="s">
        <v>30</v>
      </c>
      <c r="C89" s="0" t="s">
        <v>178</v>
      </c>
      <c r="D89" s="0" t="s">
        <v>281</v>
      </c>
      <c r="E89" s="0" t="s">
        <v>154</v>
      </c>
      <c r="F89" s="0" t="s">
        <v>429</v>
      </c>
      <c r="G89" s="0" t="s">
        <v>466</v>
      </c>
      <c r="H89" s="0">
        <v>12</v>
      </c>
      <c r="I89" s="0">
        <v>49</v>
      </c>
      <c r="J89" s="0">
        <v>2775</v>
      </c>
    </row>
    <row r="90">
      <c r="A90" s="0" t="s">
        <v>28</v>
      </c>
      <c r="B90" s="0" t="s">
        <v>30</v>
      </c>
      <c r="C90" s="0" t="s">
        <v>178</v>
      </c>
      <c r="D90" s="0" t="s">
        <v>281</v>
      </c>
      <c r="E90" s="0" t="s">
        <v>154</v>
      </c>
      <c r="F90" s="0" t="s">
        <v>467</v>
      </c>
      <c r="G90" s="0" t="s">
        <v>270</v>
      </c>
      <c r="H90" s="0">
        <v>12</v>
      </c>
      <c r="I90" s="0">
        <v>49</v>
      </c>
      <c r="J90" s="0">
        <v>2775</v>
      </c>
    </row>
    <row r="91">
      <c r="A91" s="0" t="s">
        <v>28</v>
      </c>
      <c r="B91" s="0" t="s">
        <v>30</v>
      </c>
      <c r="C91" s="0" t="s">
        <v>178</v>
      </c>
      <c r="D91" s="0" t="s">
        <v>281</v>
      </c>
      <c r="E91" s="0" t="s">
        <v>154</v>
      </c>
      <c r="F91" s="0" t="s">
        <v>468</v>
      </c>
      <c r="G91" s="0" t="s">
        <v>271</v>
      </c>
      <c r="H91" s="0">
        <v>12</v>
      </c>
      <c r="I91" s="0">
        <v>49</v>
      </c>
      <c r="J91" s="0">
        <v>2775</v>
      </c>
    </row>
    <row r="92">
      <c r="A92" s="0" t="s">
        <v>28</v>
      </c>
      <c r="B92" s="0" t="s">
        <v>30</v>
      </c>
      <c r="C92" s="0" t="s">
        <v>178</v>
      </c>
      <c r="D92" s="0" t="s">
        <v>281</v>
      </c>
      <c r="E92" s="0" t="s">
        <v>154</v>
      </c>
      <c r="F92" s="0" t="s">
        <v>469</v>
      </c>
      <c r="G92" s="0" t="s">
        <v>470</v>
      </c>
      <c r="H92" s="0">
        <v>12</v>
      </c>
      <c r="I92" s="0">
        <v>49</v>
      </c>
      <c r="J92" s="0">
        <v>2775</v>
      </c>
    </row>
    <row r="93">
      <c r="A93" s="0" t="s">
        <v>28</v>
      </c>
      <c r="B93" s="0" t="s">
        <v>30</v>
      </c>
      <c r="C93" s="0" t="s">
        <v>178</v>
      </c>
      <c r="D93" s="0" t="s">
        <v>281</v>
      </c>
      <c r="E93" s="0" t="s">
        <v>154</v>
      </c>
      <c r="F93" s="0" t="s">
        <v>471</v>
      </c>
      <c r="G93" s="0" t="s">
        <v>272</v>
      </c>
      <c r="H93" s="0">
        <v>12</v>
      </c>
      <c r="I93" s="0">
        <v>49</v>
      </c>
      <c r="J93" s="0">
        <v>2775</v>
      </c>
    </row>
    <row r="94">
      <c r="A94" s="0" t="s">
        <v>28</v>
      </c>
      <c r="B94" s="0" t="s">
        <v>30</v>
      </c>
      <c r="C94" s="0" t="s">
        <v>178</v>
      </c>
      <c r="D94" s="0" t="s">
        <v>281</v>
      </c>
      <c r="E94" s="0" t="s">
        <v>154</v>
      </c>
      <c r="F94" s="0" t="s">
        <v>472</v>
      </c>
      <c r="G94" s="0" t="s">
        <v>473</v>
      </c>
      <c r="H94" s="0">
        <v>12</v>
      </c>
      <c r="I94" s="0">
        <v>49</v>
      </c>
      <c r="J94" s="0">
        <v>2775</v>
      </c>
    </row>
    <row r="95">
      <c r="A95" s="0" t="s">
        <v>28</v>
      </c>
      <c r="B95" s="0" t="s">
        <v>30</v>
      </c>
      <c r="C95" s="0" t="s">
        <v>178</v>
      </c>
      <c r="D95" s="0" t="s">
        <v>281</v>
      </c>
      <c r="E95" s="0" t="s">
        <v>154</v>
      </c>
      <c r="F95" s="0" t="s">
        <v>331</v>
      </c>
      <c r="G95" s="0" t="s">
        <v>332</v>
      </c>
      <c r="H95" s="0">
        <v>12</v>
      </c>
      <c r="I95" s="0">
        <v>49</v>
      </c>
      <c r="J95" s="0">
        <v>2775</v>
      </c>
    </row>
    <row r="96">
      <c r="A96" s="0" t="s">
        <v>28</v>
      </c>
      <c r="B96" s="0" t="s">
        <v>30</v>
      </c>
      <c r="C96" s="0" t="s">
        <v>178</v>
      </c>
      <c r="D96" s="0" t="s">
        <v>281</v>
      </c>
      <c r="E96" s="0" t="s">
        <v>154</v>
      </c>
      <c r="F96" s="0" t="s">
        <v>474</v>
      </c>
      <c r="G96" s="0" t="s">
        <v>272</v>
      </c>
      <c r="H96" s="0">
        <v>12</v>
      </c>
      <c r="I96" s="0">
        <v>49</v>
      </c>
      <c r="J96" s="0">
        <v>2775</v>
      </c>
    </row>
    <row r="97">
      <c r="A97" s="0" t="s">
        <v>28</v>
      </c>
      <c r="B97" s="0" t="s">
        <v>30</v>
      </c>
      <c r="C97" s="0" t="s">
        <v>178</v>
      </c>
      <c r="D97" s="0" t="s">
        <v>281</v>
      </c>
      <c r="E97" s="0" t="s">
        <v>154</v>
      </c>
      <c r="F97" s="0" t="s">
        <v>475</v>
      </c>
      <c r="G97" s="0" t="s">
        <v>476</v>
      </c>
      <c r="H97" s="0">
        <v>12</v>
      </c>
      <c r="I97" s="0">
        <v>49</v>
      </c>
      <c r="J97" s="0">
        <v>2775</v>
      </c>
    </row>
    <row r="98">
      <c r="A98" s="0" t="s">
        <v>28</v>
      </c>
      <c r="B98" s="0" t="s">
        <v>30</v>
      </c>
      <c r="C98" s="0" t="s">
        <v>178</v>
      </c>
      <c r="D98" s="0" t="s">
        <v>281</v>
      </c>
      <c r="E98" s="0" t="s">
        <v>154</v>
      </c>
      <c r="F98" s="0" t="s">
        <v>477</v>
      </c>
      <c r="G98" s="0" t="s">
        <v>478</v>
      </c>
      <c r="H98" s="0">
        <v>12</v>
      </c>
      <c r="I98" s="0">
        <v>49</v>
      </c>
      <c r="J98" s="0">
        <v>2775</v>
      </c>
    </row>
    <row r="99">
      <c r="A99" s="0" t="s">
        <v>28</v>
      </c>
      <c r="B99" s="0" t="s">
        <v>30</v>
      </c>
      <c r="C99" s="0" t="s">
        <v>178</v>
      </c>
      <c r="D99" s="0" t="s">
        <v>281</v>
      </c>
      <c r="E99" s="0" t="s">
        <v>154</v>
      </c>
      <c r="F99" s="0" t="s">
        <v>479</v>
      </c>
      <c r="G99" s="0" t="s">
        <v>273</v>
      </c>
      <c r="H99" s="0">
        <v>12</v>
      </c>
      <c r="I99" s="0">
        <v>49</v>
      </c>
      <c r="J99" s="0">
        <v>2775</v>
      </c>
    </row>
    <row r="100">
      <c r="A100" s="0" t="s">
        <v>28</v>
      </c>
      <c r="B100" s="0" t="s">
        <v>30</v>
      </c>
      <c r="C100" s="0" t="s">
        <v>178</v>
      </c>
      <c r="D100" s="0" t="s">
        <v>281</v>
      </c>
      <c r="E100" s="0" t="s">
        <v>154</v>
      </c>
      <c r="F100" s="0" t="s">
        <v>480</v>
      </c>
      <c r="G100" s="0" t="s">
        <v>274</v>
      </c>
      <c r="H100" s="0">
        <v>12</v>
      </c>
      <c r="I100" s="0">
        <v>49</v>
      </c>
      <c r="J100" s="0">
        <v>2775</v>
      </c>
    </row>
    <row r="101">
      <c r="A101" s="0" t="s">
        <v>28</v>
      </c>
      <c r="B101" s="0" t="s">
        <v>30</v>
      </c>
      <c r="C101" s="0" t="s">
        <v>178</v>
      </c>
      <c r="D101" s="0" t="s">
        <v>281</v>
      </c>
      <c r="E101" s="0" t="s">
        <v>154</v>
      </c>
      <c r="F101" s="0" t="s">
        <v>481</v>
      </c>
      <c r="G101" s="0" t="s">
        <v>275</v>
      </c>
      <c r="H101" s="0">
        <v>12</v>
      </c>
      <c r="I101" s="0">
        <v>49</v>
      </c>
      <c r="J101" s="0">
        <v>2775</v>
      </c>
    </row>
    <row r="102">
      <c r="A102" s="0" t="s">
        <v>28</v>
      </c>
      <c r="B102" s="0" t="s">
        <v>30</v>
      </c>
      <c r="C102" s="0" t="s">
        <v>178</v>
      </c>
      <c r="D102" s="0" t="s">
        <v>281</v>
      </c>
      <c r="E102" s="0" t="s">
        <v>154</v>
      </c>
      <c r="F102" s="0" t="s">
        <v>482</v>
      </c>
      <c r="G102" s="0" t="s">
        <v>483</v>
      </c>
      <c r="H102" s="0">
        <v>12</v>
      </c>
      <c r="I102" s="0">
        <v>49</v>
      </c>
      <c r="J102" s="0">
        <v>2775</v>
      </c>
    </row>
    <row r="103">
      <c r="A103" s="0" t="s">
        <v>28</v>
      </c>
      <c r="B103" s="0" t="s">
        <v>30</v>
      </c>
      <c r="C103" s="0" t="s">
        <v>178</v>
      </c>
      <c r="D103" s="0" t="s">
        <v>281</v>
      </c>
      <c r="E103" s="0" t="s">
        <v>154</v>
      </c>
      <c r="F103" s="0" t="s">
        <v>484</v>
      </c>
      <c r="G103" s="0" t="s">
        <v>272</v>
      </c>
      <c r="H103" s="0">
        <v>12</v>
      </c>
      <c r="I103" s="0">
        <v>49</v>
      </c>
      <c r="J103" s="0">
        <v>2775</v>
      </c>
    </row>
    <row r="104">
      <c r="A104" s="0" t="s">
        <v>28</v>
      </c>
      <c r="B104" s="0" t="s">
        <v>30</v>
      </c>
      <c r="C104" s="0" t="s">
        <v>178</v>
      </c>
      <c r="D104" s="0" t="s">
        <v>281</v>
      </c>
      <c r="E104" s="0" t="s">
        <v>154</v>
      </c>
      <c r="F104" s="0" t="s">
        <v>485</v>
      </c>
      <c r="G104" s="0" t="s">
        <v>473</v>
      </c>
      <c r="H104" s="0">
        <v>12</v>
      </c>
      <c r="I104" s="0">
        <v>49</v>
      </c>
      <c r="J104" s="0">
        <v>2775</v>
      </c>
    </row>
    <row r="105">
      <c r="A105" s="0" t="s">
        <v>28</v>
      </c>
      <c r="B105" s="0" t="s">
        <v>30</v>
      </c>
      <c r="C105" s="0" t="s">
        <v>178</v>
      </c>
      <c r="D105" s="0" t="s">
        <v>281</v>
      </c>
      <c r="E105" s="0" t="s">
        <v>154</v>
      </c>
      <c r="F105" s="0" t="s">
        <v>486</v>
      </c>
      <c r="G105" s="0" t="s">
        <v>272</v>
      </c>
      <c r="H105" s="0">
        <v>12</v>
      </c>
      <c r="I105" s="0">
        <v>49</v>
      </c>
      <c r="J105" s="0">
        <v>2775</v>
      </c>
    </row>
    <row r="106">
      <c r="A106" s="0" t="s">
        <v>28</v>
      </c>
      <c r="B106" s="0" t="s">
        <v>30</v>
      </c>
      <c r="C106" s="0" t="s">
        <v>178</v>
      </c>
      <c r="D106" s="0" t="s">
        <v>281</v>
      </c>
      <c r="E106" s="0" t="s">
        <v>154</v>
      </c>
      <c r="F106" s="0" t="s">
        <v>487</v>
      </c>
      <c r="G106" s="0" t="s">
        <v>276</v>
      </c>
      <c r="H106" s="0">
        <v>12</v>
      </c>
      <c r="I106" s="0">
        <v>49</v>
      </c>
      <c r="J106" s="0">
        <v>2775</v>
      </c>
    </row>
    <row r="107">
      <c r="A107" s="0" t="s">
        <v>28</v>
      </c>
      <c r="B107" s="0" t="s">
        <v>30</v>
      </c>
      <c r="C107" s="0" t="s">
        <v>178</v>
      </c>
      <c r="D107" s="0" t="s">
        <v>281</v>
      </c>
      <c r="E107" s="0" t="s">
        <v>154</v>
      </c>
      <c r="F107" s="0" t="s">
        <v>488</v>
      </c>
      <c r="G107" s="0" t="s">
        <v>489</v>
      </c>
      <c r="H107" s="0">
        <v>12</v>
      </c>
      <c r="I107" s="0">
        <v>49</v>
      </c>
      <c r="J107" s="0">
        <v>2775</v>
      </c>
    </row>
    <row r="108">
      <c r="A108" s="0" t="s">
        <v>28</v>
      </c>
      <c r="B108" s="0" t="s">
        <v>30</v>
      </c>
      <c r="C108" s="0" t="s">
        <v>178</v>
      </c>
      <c r="D108" s="0" t="s">
        <v>281</v>
      </c>
      <c r="E108" s="0" t="s">
        <v>154</v>
      </c>
      <c r="F108" s="0" t="s">
        <v>490</v>
      </c>
      <c r="G108" s="0" t="s">
        <v>491</v>
      </c>
      <c r="H108" s="0">
        <v>12</v>
      </c>
      <c r="I108" s="0">
        <v>49</v>
      </c>
      <c r="J108" s="0">
        <v>2775</v>
      </c>
    </row>
    <row r="109">
      <c r="A109" s="0" t="s">
        <v>28</v>
      </c>
      <c r="B109" s="0" t="s">
        <v>30</v>
      </c>
      <c r="C109" s="0" t="s">
        <v>178</v>
      </c>
      <c r="D109" s="0" t="s">
        <v>281</v>
      </c>
      <c r="E109" s="0" t="s">
        <v>154</v>
      </c>
      <c r="F109" s="0" t="s">
        <v>492</v>
      </c>
      <c r="G109" s="0" t="s">
        <v>493</v>
      </c>
      <c r="H109" s="0">
        <v>12</v>
      </c>
      <c r="I109" s="0">
        <v>49</v>
      </c>
      <c r="J109" s="0">
        <v>2775</v>
      </c>
    </row>
    <row r="110">
      <c r="A110" s="0" t="s">
        <v>28</v>
      </c>
      <c r="B110" s="0" t="s">
        <v>30</v>
      </c>
      <c r="C110" s="0" t="s">
        <v>178</v>
      </c>
      <c r="D110" s="0" t="s">
        <v>281</v>
      </c>
      <c r="E110" s="0" t="s">
        <v>154</v>
      </c>
      <c r="F110" s="0" t="s">
        <v>494</v>
      </c>
      <c r="G110" s="0" t="s">
        <v>277</v>
      </c>
      <c r="H110" s="0">
        <v>12</v>
      </c>
      <c r="I110" s="0">
        <v>49</v>
      </c>
      <c r="J110" s="0">
        <v>2775</v>
      </c>
    </row>
    <row r="111">
      <c r="A111" s="0" t="s">
        <v>28</v>
      </c>
      <c r="B111" s="0" t="s">
        <v>30</v>
      </c>
      <c r="C111" s="0" t="s">
        <v>178</v>
      </c>
      <c r="D111" s="0" t="s">
        <v>281</v>
      </c>
      <c r="E111" s="0" t="s">
        <v>154</v>
      </c>
      <c r="F111" s="0" t="s">
        <v>495</v>
      </c>
      <c r="G111" s="0" t="s">
        <v>257</v>
      </c>
      <c r="H111" s="0">
        <v>12</v>
      </c>
      <c r="I111" s="0">
        <v>49</v>
      </c>
      <c r="J111" s="0">
        <v>2775</v>
      </c>
    </row>
    <row r="112">
      <c r="A112" s="0" t="s">
        <v>28</v>
      </c>
      <c r="B112" s="0" t="s">
        <v>30</v>
      </c>
      <c r="C112" s="0" t="s">
        <v>178</v>
      </c>
      <c r="D112" s="0" t="s">
        <v>281</v>
      </c>
      <c r="E112" s="0" t="s">
        <v>154</v>
      </c>
      <c r="F112" s="0" t="s">
        <v>496</v>
      </c>
      <c r="G112" s="0" t="s">
        <v>278</v>
      </c>
      <c r="H112" s="0">
        <v>12</v>
      </c>
      <c r="I112" s="0">
        <v>49</v>
      </c>
      <c r="J112" s="0">
        <v>2775</v>
      </c>
    </row>
    <row r="113">
      <c r="A113" s="0" t="s">
        <v>28</v>
      </c>
      <c r="B113" s="0" t="s">
        <v>30</v>
      </c>
      <c r="C113" s="0" t="s">
        <v>178</v>
      </c>
      <c r="D113" s="0" t="s">
        <v>281</v>
      </c>
      <c r="E113" s="0" t="s">
        <v>154</v>
      </c>
      <c r="F113" s="0" t="s">
        <v>497</v>
      </c>
      <c r="G113" s="0" t="s">
        <v>498</v>
      </c>
      <c r="H113" s="0">
        <v>12</v>
      </c>
      <c r="I113" s="0">
        <v>49</v>
      </c>
      <c r="J113" s="0">
        <v>2775</v>
      </c>
    </row>
    <row r="114">
      <c r="A114" s="0" t="s">
        <v>28</v>
      </c>
      <c r="B114" s="0" t="s">
        <v>30</v>
      </c>
      <c r="C114" s="0" t="s">
        <v>178</v>
      </c>
      <c r="D114" s="0" t="s">
        <v>281</v>
      </c>
      <c r="E114" s="0" t="s">
        <v>154</v>
      </c>
      <c r="F114" s="0" t="s">
        <v>499</v>
      </c>
      <c r="G114" s="0" t="s">
        <v>533</v>
      </c>
      <c r="H114" s="0">
        <v>12</v>
      </c>
      <c r="I114" s="0">
        <v>49</v>
      </c>
      <c r="J114" s="0">
        <v>2775</v>
      </c>
    </row>
    <row r="115">
      <c r="A115" s="0" t="s">
        <v>28</v>
      </c>
      <c r="B115" s="0" t="s">
        <v>30</v>
      </c>
      <c r="C115" s="0" t="s">
        <v>178</v>
      </c>
      <c r="D115" s="0" t="s">
        <v>281</v>
      </c>
      <c r="E115" s="0" t="s">
        <v>154</v>
      </c>
      <c r="F115" s="0" t="s">
        <v>501</v>
      </c>
      <c r="G115" s="0" t="s">
        <v>502</v>
      </c>
      <c r="H115" s="0">
        <v>12</v>
      </c>
      <c r="I115" s="0">
        <v>49</v>
      </c>
      <c r="J115" s="0">
        <v>2775</v>
      </c>
    </row>
    <row r="116">
      <c r="A116" s="0" t="s">
        <v>28</v>
      </c>
      <c r="B116" s="0" t="s">
        <v>30</v>
      </c>
      <c r="C116" s="0" t="s">
        <v>178</v>
      </c>
      <c r="D116" s="0" t="s">
        <v>281</v>
      </c>
      <c r="E116" s="0" t="s">
        <v>154</v>
      </c>
      <c r="F116" s="0" t="s">
        <v>503</v>
      </c>
      <c r="G116" s="0" t="s">
        <v>504</v>
      </c>
      <c r="H116" s="0">
        <v>12</v>
      </c>
      <c r="I116" s="0">
        <v>49</v>
      </c>
      <c r="J116" s="0">
        <v>2775</v>
      </c>
    </row>
    <row r="117">
      <c r="A117" s="0" t="s">
        <v>28</v>
      </c>
      <c r="B117" s="0" t="s">
        <v>30</v>
      </c>
      <c r="C117" s="0" t="s">
        <v>178</v>
      </c>
      <c r="D117" s="0" t="s">
        <v>281</v>
      </c>
      <c r="E117" s="0" t="s">
        <v>154</v>
      </c>
      <c r="F117" s="0" t="s">
        <v>505</v>
      </c>
      <c r="G117" s="0" t="s">
        <v>506</v>
      </c>
      <c r="H117" s="0">
        <v>12</v>
      </c>
      <c r="I117" s="0">
        <v>49</v>
      </c>
      <c r="J117" s="0">
        <v>2775</v>
      </c>
    </row>
    <row r="118">
      <c r="A118" s="0" t="s">
        <v>28</v>
      </c>
      <c r="B118" s="0" t="s">
        <v>30</v>
      </c>
      <c r="C118" s="0" t="s">
        <v>178</v>
      </c>
      <c r="D118" s="0" t="s">
        <v>281</v>
      </c>
      <c r="E118" s="0" t="s">
        <v>154</v>
      </c>
      <c r="F118" s="0" t="s">
        <v>507</v>
      </c>
      <c r="G118" s="0" t="s">
        <v>508</v>
      </c>
      <c r="H118" s="0">
        <v>12</v>
      </c>
      <c r="I118" s="0">
        <v>49</v>
      </c>
      <c r="J118" s="0">
        <v>2775</v>
      </c>
    </row>
    <row r="119">
      <c r="A119" s="0" t="s">
        <v>28</v>
      </c>
      <c r="B119" s="0" t="s">
        <v>30</v>
      </c>
      <c r="C119" s="0" t="s">
        <v>178</v>
      </c>
      <c r="D119" s="0" t="s">
        <v>281</v>
      </c>
      <c r="E119" s="0" t="s">
        <v>154</v>
      </c>
      <c r="F119" s="0" t="s">
        <v>509</v>
      </c>
      <c r="G119" s="0" t="s">
        <v>114</v>
      </c>
      <c r="H119" s="0">
        <v>12</v>
      </c>
      <c r="I119" s="0">
        <v>49</v>
      </c>
      <c r="J119" s="0">
        <v>2775</v>
      </c>
    </row>
    <row r="120">
      <c r="A120" s="0" t="s">
        <v>28</v>
      </c>
      <c r="B120" s="0" t="s">
        <v>30</v>
      </c>
      <c r="C120" s="0" t="s">
        <v>178</v>
      </c>
      <c r="D120" s="0" t="s">
        <v>281</v>
      </c>
      <c r="E120" s="0" t="s">
        <v>154</v>
      </c>
      <c r="F120" s="0" t="s">
        <v>510</v>
      </c>
      <c r="G120" s="0" t="s">
        <v>511</v>
      </c>
      <c r="H120" s="0">
        <v>12</v>
      </c>
      <c r="I120" s="0">
        <v>49</v>
      </c>
      <c r="J120" s="0">
        <v>2775</v>
      </c>
    </row>
    <row r="121">
      <c r="A121" s="0" t="s">
        <v>28</v>
      </c>
      <c r="B121" s="0" t="s">
        <v>30</v>
      </c>
      <c r="C121" s="0" t="s">
        <v>178</v>
      </c>
      <c r="D121" s="0" t="s">
        <v>281</v>
      </c>
      <c r="E121" s="0" t="s">
        <v>154</v>
      </c>
      <c r="F121" s="0" t="s">
        <v>512</v>
      </c>
      <c r="G121" s="0" t="s">
        <v>513</v>
      </c>
      <c r="H121" s="0">
        <v>12</v>
      </c>
      <c r="I121" s="0">
        <v>49</v>
      </c>
      <c r="J121" s="0">
        <v>2775</v>
      </c>
    </row>
    <row r="122">
      <c r="A122" s="0" t="s">
        <v>28</v>
      </c>
      <c r="B122" s="0" t="s">
        <v>30</v>
      </c>
      <c r="C122" s="0" t="s">
        <v>178</v>
      </c>
      <c r="D122" s="0" t="s">
        <v>281</v>
      </c>
      <c r="E122" s="0" t="s">
        <v>154</v>
      </c>
      <c r="F122" s="0" t="s">
        <v>514</v>
      </c>
      <c r="G122" s="0" t="s">
        <v>515</v>
      </c>
      <c r="H122" s="0">
        <v>12</v>
      </c>
      <c r="I122" s="0">
        <v>49</v>
      </c>
      <c r="J122" s="0">
        <v>2775</v>
      </c>
    </row>
    <row r="123">
      <c r="A123" s="0" t="s">
        <v>28</v>
      </c>
      <c r="B123" s="0" t="s">
        <v>30</v>
      </c>
      <c r="C123" s="0" t="s">
        <v>178</v>
      </c>
      <c r="D123" s="0" t="s">
        <v>281</v>
      </c>
      <c r="E123" s="0" t="s">
        <v>154</v>
      </c>
      <c r="F123" s="0" t="s">
        <v>516</v>
      </c>
      <c r="G123" s="0" t="s">
        <v>450</v>
      </c>
      <c r="H123" s="0">
        <v>12</v>
      </c>
      <c r="I123" s="0">
        <v>49</v>
      </c>
      <c r="J123" s="0">
        <v>2775</v>
      </c>
    </row>
    <row r="124">
      <c r="A124" s="0" t="s">
        <v>28</v>
      </c>
      <c r="B124" s="0" t="s">
        <v>30</v>
      </c>
      <c r="C124" s="0" t="s">
        <v>178</v>
      </c>
      <c r="D124" s="0" t="s">
        <v>281</v>
      </c>
      <c r="E124" s="0" t="s">
        <v>154</v>
      </c>
      <c r="F124" s="0" t="s">
        <v>517</v>
      </c>
      <c r="G124" s="0" t="s">
        <v>518</v>
      </c>
      <c r="H124" s="0">
        <v>12</v>
      </c>
      <c r="I124" s="0">
        <v>49</v>
      </c>
      <c r="J124" s="0">
        <v>2775</v>
      </c>
    </row>
    <row r="125">
      <c r="A125" s="0" t="s">
        <v>28</v>
      </c>
      <c r="B125" s="0" t="s">
        <v>30</v>
      </c>
      <c r="C125" s="0" t="s">
        <v>178</v>
      </c>
      <c r="D125" s="0" t="s">
        <v>281</v>
      </c>
      <c r="E125" s="0" t="s">
        <v>154</v>
      </c>
      <c r="F125" s="0" t="s">
        <v>519</v>
      </c>
      <c r="G125" s="0" t="s">
        <v>520</v>
      </c>
      <c r="H125" s="0">
        <v>12</v>
      </c>
      <c r="I125" s="0">
        <v>49</v>
      </c>
      <c r="J125" s="0">
        <v>2775</v>
      </c>
    </row>
    <row r="126">
      <c r="A126" s="0" t="s">
        <v>28</v>
      </c>
      <c r="B126" s="0" t="s">
        <v>30</v>
      </c>
      <c r="C126" s="0" t="s">
        <v>178</v>
      </c>
      <c r="D126" s="0" t="s">
        <v>281</v>
      </c>
      <c r="E126" s="0" t="s">
        <v>154</v>
      </c>
      <c r="F126" s="0" t="s">
        <v>521</v>
      </c>
      <c r="G126" s="0" t="s">
        <v>341</v>
      </c>
      <c r="H126" s="0">
        <v>12</v>
      </c>
      <c r="I126" s="0">
        <v>49</v>
      </c>
      <c r="J126" s="0">
        <v>2775</v>
      </c>
    </row>
    <row r="127">
      <c r="A127" s="0" t="s">
        <v>28</v>
      </c>
      <c r="B127" s="0" t="s">
        <v>30</v>
      </c>
      <c r="C127" s="0" t="s">
        <v>178</v>
      </c>
      <c r="D127" s="0" t="s">
        <v>281</v>
      </c>
      <c r="E127" s="0" t="s">
        <v>154</v>
      </c>
      <c r="F127" s="0" t="s">
        <v>522</v>
      </c>
      <c r="G127" s="0" t="s">
        <v>523</v>
      </c>
      <c r="H127" s="0">
        <v>12</v>
      </c>
      <c r="I127" s="0">
        <v>49</v>
      </c>
      <c r="J127" s="0">
        <v>2775</v>
      </c>
    </row>
    <row r="128">
      <c r="A128" s="0" t="s">
        <v>28</v>
      </c>
      <c r="B128" s="0" t="s">
        <v>30</v>
      </c>
      <c r="C128" s="0" t="s">
        <v>178</v>
      </c>
      <c r="D128" s="0" t="s">
        <v>281</v>
      </c>
      <c r="E128" s="0" t="s">
        <v>154</v>
      </c>
      <c r="F128" s="0" t="s">
        <v>524</v>
      </c>
      <c r="G128" s="0" t="s">
        <v>534</v>
      </c>
      <c r="H128" s="0">
        <v>12</v>
      </c>
      <c r="I128" s="0">
        <v>49</v>
      </c>
      <c r="J128" s="0">
        <v>2775</v>
      </c>
    </row>
    <row r="129">
      <c r="A129" s="0" t="s">
        <v>28</v>
      </c>
      <c r="B129" s="0" t="s">
        <v>30</v>
      </c>
      <c r="C129" s="0" t="s">
        <v>178</v>
      </c>
      <c r="D129" s="0" t="s">
        <v>281</v>
      </c>
      <c r="E129" s="0" t="s">
        <v>154</v>
      </c>
      <c r="F129" s="0" t="s">
        <v>526</v>
      </c>
      <c r="G129" s="0" t="s">
        <v>527</v>
      </c>
      <c r="H129" s="0">
        <v>12</v>
      </c>
      <c r="I129" s="0">
        <v>49</v>
      </c>
      <c r="J129" s="0">
        <v>2775</v>
      </c>
    </row>
    <row r="130">
      <c r="A130" s="0" t="s">
        <v>28</v>
      </c>
      <c r="B130" s="0" t="s">
        <v>30</v>
      </c>
      <c r="C130" s="0" t="s">
        <v>178</v>
      </c>
      <c r="D130" s="0" t="s">
        <v>281</v>
      </c>
      <c r="E130" s="0" t="s">
        <v>154</v>
      </c>
      <c r="F130" s="0" t="s">
        <v>528</v>
      </c>
      <c r="G130" s="0" t="s">
        <v>529</v>
      </c>
      <c r="H130" s="0">
        <v>12</v>
      </c>
      <c r="I130" s="0">
        <v>49</v>
      </c>
      <c r="J130" s="0">
        <v>2775</v>
      </c>
    </row>
    <row r="131">
      <c r="A131" s="0" t="s">
        <v>28</v>
      </c>
      <c r="B131" s="0" t="s">
        <v>30</v>
      </c>
      <c r="C131" s="0" t="s">
        <v>178</v>
      </c>
      <c r="D131" s="0" t="s">
        <v>281</v>
      </c>
      <c r="E131" s="0" t="s">
        <v>154</v>
      </c>
      <c r="F131" s="0" t="s">
        <v>530</v>
      </c>
      <c r="G131" s="0" t="s">
        <v>279</v>
      </c>
      <c r="H131" s="0">
        <v>12</v>
      </c>
      <c r="I131" s="0">
        <v>49</v>
      </c>
      <c r="J131" s="0">
        <v>2775</v>
      </c>
    </row>
    <row r="132">
      <c r="A132" s="0" t="s">
        <v>28</v>
      </c>
      <c r="B132" s="0" t="s">
        <v>30</v>
      </c>
      <c r="C132" s="0" t="s">
        <v>178</v>
      </c>
      <c r="D132" s="0" t="s">
        <v>281</v>
      </c>
      <c r="E132" s="0" t="s">
        <v>154</v>
      </c>
      <c r="F132" s="0" t="s">
        <v>531</v>
      </c>
      <c r="G132" s="0" t="s">
        <v>532</v>
      </c>
      <c r="H132" s="0">
        <v>12</v>
      </c>
      <c r="I132" s="0">
        <v>49</v>
      </c>
      <c r="J132" s="0">
        <v>2775</v>
      </c>
    </row>
    <row r="133">
      <c r="A133" s="0" t="s">
        <v>28</v>
      </c>
      <c r="B133" s="0" t="s">
        <v>30</v>
      </c>
      <c r="C133" s="0" t="s">
        <v>178</v>
      </c>
      <c r="D133" s="0" t="s">
        <v>281</v>
      </c>
      <c r="E133" s="0" t="s">
        <v>154</v>
      </c>
      <c r="F133" s="0" t="s">
        <v>336</v>
      </c>
      <c r="G133" s="0" t="s">
        <v>337</v>
      </c>
      <c r="H133" s="0">
        <v>12</v>
      </c>
      <c r="I133" s="0">
        <v>49</v>
      </c>
      <c r="J133" s="0">
        <v>2775</v>
      </c>
    </row>
    <row r="134">
      <c r="A134" s="0" t="s">
        <v>28</v>
      </c>
      <c r="B134" s="0" t="s">
        <v>30</v>
      </c>
      <c r="C134" s="0" t="s">
        <v>178</v>
      </c>
      <c r="D134" s="0" t="s">
        <v>281</v>
      </c>
      <c r="E134" s="0" t="s">
        <v>154</v>
      </c>
      <c r="F134" s="0" t="s">
        <v>338</v>
      </c>
      <c r="G134" s="0" t="s">
        <v>351</v>
      </c>
      <c r="H134" s="0">
        <v>12</v>
      </c>
      <c r="I134" s="0">
        <v>49</v>
      </c>
      <c r="J134" s="0">
        <v>2775</v>
      </c>
    </row>
    <row r="135">
      <c r="A135" s="0" t="s">
        <v>28</v>
      </c>
      <c r="B135" s="0" t="s">
        <v>30</v>
      </c>
      <c r="C135" s="0" t="s">
        <v>178</v>
      </c>
      <c r="D135" s="0" t="s">
        <v>281</v>
      </c>
      <c r="E135" s="0" t="s">
        <v>154</v>
      </c>
      <c r="F135" s="0" t="s">
        <v>340</v>
      </c>
      <c r="G135" s="0" t="s">
        <v>341</v>
      </c>
      <c r="H135" s="0">
        <v>12</v>
      </c>
      <c r="I135" s="0">
        <v>49</v>
      </c>
      <c r="J135" s="0">
        <v>2775</v>
      </c>
    </row>
    <row r="136">
      <c r="A136" s="0" t="s">
        <v>28</v>
      </c>
      <c r="B136" s="0" t="s">
        <v>30</v>
      </c>
      <c r="C136" s="0" t="s">
        <v>178</v>
      </c>
      <c r="D136" s="0" t="s">
        <v>281</v>
      </c>
      <c r="E136" s="0" t="s">
        <v>154</v>
      </c>
      <c r="F136" s="0" t="s">
        <v>342</v>
      </c>
      <c r="G136" s="0" t="s">
        <v>341</v>
      </c>
      <c r="H136" s="0">
        <v>12</v>
      </c>
      <c r="I136" s="0">
        <v>49</v>
      </c>
      <c r="J136" s="0">
        <v>2775</v>
      </c>
    </row>
    <row r="137">
      <c r="A137" s="0" t="s">
        <v>28</v>
      </c>
      <c r="B137" s="0" t="s">
        <v>30</v>
      </c>
      <c r="C137" s="0" t="s">
        <v>178</v>
      </c>
      <c r="D137" s="0" t="s">
        <v>281</v>
      </c>
      <c r="E137" s="0" t="s">
        <v>154</v>
      </c>
      <c r="F137" s="0" t="s">
        <v>343</v>
      </c>
      <c r="G137" s="0" t="s">
        <v>344</v>
      </c>
      <c r="H137" s="0">
        <v>12</v>
      </c>
      <c r="I137" s="0">
        <v>49</v>
      </c>
      <c r="J137" s="0">
        <v>2775</v>
      </c>
    </row>
    <row r="138">
      <c r="A138" s="0" t="s">
        <v>28</v>
      </c>
      <c r="B138" s="0" t="s">
        <v>30</v>
      </c>
      <c r="C138" s="0" t="s">
        <v>178</v>
      </c>
      <c r="D138" s="0" t="s">
        <v>281</v>
      </c>
      <c r="E138" s="0" t="s">
        <v>154</v>
      </c>
      <c r="F138" s="0" t="s">
        <v>345</v>
      </c>
      <c r="G138" s="0" t="s">
        <v>337</v>
      </c>
      <c r="H138" s="0">
        <v>12</v>
      </c>
      <c r="I138" s="0">
        <v>49</v>
      </c>
      <c r="J138" s="0">
        <v>2775</v>
      </c>
    </row>
    <row r="139">
      <c r="A139" s="0" t="s">
        <v>28</v>
      </c>
      <c r="B139" s="0" t="s">
        <v>30</v>
      </c>
      <c r="C139" s="0" t="s">
        <v>180</v>
      </c>
      <c r="D139" s="0" t="s">
        <v>283</v>
      </c>
      <c r="E139" s="0" t="s">
        <v>154</v>
      </c>
      <c r="F139" s="0" t="s">
        <v>327</v>
      </c>
      <c r="G139" s="0" t="s">
        <v>30</v>
      </c>
      <c r="H139" s="0">
        <v>12</v>
      </c>
      <c r="I139" s="0">
        <v>50</v>
      </c>
      <c r="J139" s="0">
        <v>2784</v>
      </c>
    </row>
    <row r="140">
      <c r="A140" s="0" t="s">
        <v>28</v>
      </c>
      <c r="B140" s="0" t="s">
        <v>30</v>
      </c>
      <c r="C140" s="0" t="s">
        <v>180</v>
      </c>
      <c r="D140" s="0" t="s">
        <v>283</v>
      </c>
      <c r="E140" s="0" t="s">
        <v>154</v>
      </c>
      <c r="F140" s="0" t="s">
        <v>328</v>
      </c>
      <c r="G140" s="0" t="s">
        <v>283</v>
      </c>
      <c r="H140" s="0">
        <v>12</v>
      </c>
      <c r="I140" s="0">
        <v>50</v>
      </c>
      <c r="J140" s="0">
        <v>2784</v>
      </c>
    </row>
    <row r="141">
      <c r="A141" s="0" t="s">
        <v>28</v>
      </c>
      <c r="B141" s="0" t="s">
        <v>30</v>
      </c>
      <c r="C141" s="0" t="s">
        <v>180</v>
      </c>
      <c r="D141" s="0" t="s">
        <v>283</v>
      </c>
      <c r="E141" s="0" t="s">
        <v>154</v>
      </c>
      <c r="F141" s="0" t="s">
        <v>329</v>
      </c>
      <c r="G141" s="0" t="s">
        <v>180</v>
      </c>
      <c r="H141" s="0">
        <v>12</v>
      </c>
      <c r="I141" s="0">
        <v>50</v>
      </c>
      <c r="J141" s="0">
        <v>2784</v>
      </c>
    </row>
    <row r="142">
      <c r="A142" s="0" t="s">
        <v>28</v>
      </c>
      <c r="B142" s="0" t="s">
        <v>30</v>
      </c>
      <c r="C142" s="0" t="s">
        <v>180</v>
      </c>
      <c r="D142" s="0" t="s">
        <v>283</v>
      </c>
      <c r="E142" s="0" t="s">
        <v>154</v>
      </c>
      <c r="F142" s="0" t="s">
        <v>444</v>
      </c>
      <c r="G142" s="0" t="s">
        <v>535</v>
      </c>
      <c r="H142" s="0">
        <v>12</v>
      </c>
      <c r="I142" s="0">
        <v>50</v>
      </c>
      <c r="J142" s="0">
        <v>2784</v>
      </c>
    </row>
    <row r="143">
      <c r="A143" s="0" t="s">
        <v>28</v>
      </c>
      <c r="B143" s="0" t="s">
        <v>30</v>
      </c>
      <c r="C143" s="0" t="s">
        <v>180</v>
      </c>
      <c r="D143" s="0" t="s">
        <v>283</v>
      </c>
      <c r="E143" s="0" t="s">
        <v>154</v>
      </c>
      <c r="F143" s="0" t="s">
        <v>446</v>
      </c>
      <c r="G143" s="0" t="s">
        <v>341</v>
      </c>
      <c r="H143" s="0">
        <v>12</v>
      </c>
      <c r="I143" s="0">
        <v>50</v>
      </c>
      <c r="J143" s="0">
        <v>2784</v>
      </c>
    </row>
    <row r="144">
      <c r="A144" s="0" t="s">
        <v>28</v>
      </c>
      <c r="B144" s="0" t="s">
        <v>30</v>
      </c>
      <c r="C144" s="0" t="s">
        <v>180</v>
      </c>
      <c r="D144" s="0" t="s">
        <v>283</v>
      </c>
      <c r="E144" s="0" t="s">
        <v>154</v>
      </c>
      <c r="F144" s="0" t="s">
        <v>447</v>
      </c>
      <c r="G144" s="0" t="s">
        <v>448</v>
      </c>
      <c r="H144" s="0">
        <v>12</v>
      </c>
      <c r="I144" s="0">
        <v>50</v>
      </c>
      <c r="J144" s="0">
        <v>2784</v>
      </c>
    </row>
    <row r="145">
      <c r="A145" s="0" t="s">
        <v>28</v>
      </c>
      <c r="B145" s="0" t="s">
        <v>30</v>
      </c>
      <c r="C145" s="0" t="s">
        <v>180</v>
      </c>
      <c r="D145" s="0" t="s">
        <v>283</v>
      </c>
      <c r="E145" s="0" t="s">
        <v>154</v>
      </c>
      <c r="F145" s="0" t="s">
        <v>449</v>
      </c>
      <c r="G145" s="0" t="s">
        <v>450</v>
      </c>
      <c r="H145" s="0">
        <v>12</v>
      </c>
      <c r="I145" s="0">
        <v>50</v>
      </c>
      <c r="J145" s="0">
        <v>2784</v>
      </c>
    </row>
    <row r="146">
      <c r="A146" s="0" t="s">
        <v>28</v>
      </c>
      <c r="B146" s="0" t="s">
        <v>30</v>
      </c>
      <c r="C146" s="0" t="s">
        <v>180</v>
      </c>
      <c r="D146" s="0" t="s">
        <v>283</v>
      </c>
      <c r="E146" s="0" t="s">
        <v>154</v>
      </c>
      <c r="F146" s="0" t="s">
        <v>451</v>
      </c>
      <c r="G146" s="0" t="s">
        <v>452</v>
      </c>
      <c r="H146" s="0">
        <v>12</v>
      </c>
      <c r="I146" s="0">
        <v>50</v>
      </c>
      <c r="J146" s="0">
        <v>2784</v>
      </c>
    </row>
    <row r="147">
      <c r="A147" s="0" t="s">
        <v>28</v>
      </c>
      <c r="B147" s="0" t="s">
        <v>30</v>
      </c>
      <c r="C147" s="0" t="s">
        <v>180</v>
      </c>
      <c r="D147" s="0" t="s">
        <v>283</v>
      </c>
      <c r="E147" s="0" t="s">
        <v>154</v>
      </c>
      <c r="F147" s="0" t="s">
        <v>453</v>
      </c>
      <c r="G147" s="0" t="s">
        <v>454</v>
      </c>
      <c r="H147" s="0">
        <v>12</v>
      </c>
      <c r="I147" s="0">
        <v>50</v>
      </c>
      <c r="J147" s="0">
        <v>2784</v>
      </c>
    </row>
    <row r="148">
      <c r="A148" s="0" t="s">
        <v>28</v>
      </c>
      <c r="B148" s="0" t="s">
        <v>30</v>
      </c>
      <c r="C148" s="0" t="s">
        <v>180</v>
      </c>
      <c r="D148" s="0" t="s">
        <v>283</v>
      </c>
      <c r="E148" s="0" t="s">
        <v>154</v>
      </c>
      <c r="F148" s="0" t="s">
        <v>455</v>
      </c>
      <c r="G148" s="0" t="s">
        <v>456</v>
      </c>
      <c r="H148" s="0">
        <v>12</v>
      </c>
      <c r="I148" s="0">
        <v>50</v>
      </c>
      <c r="J148" s="0">
        <v>2784</v>
      </c>
    </row>
    <row r="149">
      <c r="A149" s="0" t="s">
        <v>28</v>
      </c>
      <c r="B149" s="0" t="s">
        <v>30</v>
      </c>
      <c r="C149" s="0" t="s">
        <v>180</v>
      </c>
      <c r="D149" s="0" t="s">
        <v>283</v>
      </c>
      <c r="E149" s="0" t="s">
        <v>154</v>
      </c>
      <c r="F149" s="0" t="s">
        <v>457</v>
      </c>
      <c r="G149" s="0" t="s">
        <v>458</v>
      </c>
      <c r="H149" s="0">
        <v>12</v>
      </c>
      <c r="I149" s="0">
        <v>50</v>
      </c>
      <c r="J149" s="0">
        <v>2784</v>
      </c>
    </row>
    <row r="150">
      <c r="A150" s="0" t="s">
        <v>28</v>
      </c>
      <c r="B150" s="0" t="s">
        <v>30</v>
      </c>
      <c r="C150" s="0" t="s">
        <v>180</v>
      </c>
      <c r="D150" s="0" t="s">
        <v>283</v>
      </c>
      <c r="E150" s="0" t="s">
        <v>154</v>
      </c>
      <c r="F150" s="0" t="s">
        <v>459</v>
      </c>
      <c r="G150" s="0" t="s">
        <v>285</v>
      </c>
      <c r="H150" s="0">
        <v>12</v>
      </c>
      <c r="I150" s="0">
        <v>50</v>
      </c>
      <c r="J150" s="0">
        <v>2784</v>
      </c>
    </row>
    <row r="151">
      <c r="A151" s="0" t="s">
        <v>28</v>
      </c>
      <c r="B151" s="0" t="s">
        <v>30</v>
      </c>
      <c r="C151" s="0" t="s">
        <v>180</v>
      </c>
      <c r="D151" s="0" t="s">
        <v>283</v>
      </c>
      <c r="E151" s="0" t="s">
        <v>154</v>
      </c>
      <c r="F151" s="0" t="s">
        <v>460</v>
      </c>
      <c r="G151" s="0" t="s">
        <v>268</v>
      </c>
      <c r="H151" s="0">
        <v>12</v>
      </c>
      <c r="I151" s="0">
        <v>50</v>
      </c>
      <c r="J151" s="0">
        <v>2784</v>
      </c>
    </row>
    <row r="152">
      <c r="A152" s="0" t="s">
        <v>28</v>
      </c>
      <c r="B152" s="0" t="s">
        <v>30</v>
      </c>
      <c r="C152" s="0" t="s">
        <v>180</v>
      </c>
      <c r="D152" s="0" t="s">
        <v>283</v>
      </c>
      <c r="E152" s="0" t="s">
        <v>154</v>
      </c>
      <c r="F152" s="0" t="s">
        <v>403</v>
      </c>
      <c r="G152" s="0" t="s">
        <v>461</v>
      </c>
      <c r="H152" s="0">
        <v>12</v>
      </c>
      <c r="I152" s="0">
        <v>50</v>
      </c>
      <c r="J152" s="0">
        <v>2784</v>
      </c>
    </row>
    <row r="153">
      <c r="A153" s="0" t="s">
        <v>28</v>
      </c>
      <c r="B153" s="0" t="s">
        <v>30</v>
      </c>
      <c r="C153" s="0" t="s">
        <v>180</v>
      </c>
      <c r="D153" s="0" t="s">
        <v>283</v>
      </c>
      <c r="E153" s="0" t="s">
        <v>154</v>
      </c>
      <c r="F153" s="0" t="s">
        <v>462</v>
      </c>
      <c r="G153" s="0" t="s">
        <v>463</v>
      </c>
      <c r="H153" s="0">
        <v>12</v>
      </c>
      <c r="I153" s="0">
        <v>50</v>
      </c>
      <c r="J153" s="0">
        <v>2784</v>
      </c>
    </row>
    <row r="154">
      <c r="A154" s="0" t="s">
        <v>28</v>
      </c>
      <c r="B154" s="0" t="s">
        <v>30</v>
      </c>
      <c r="C154" s="0" t="s">
        <v>180</v>
      </c>
      <c r="D154" s="0" t="s">
        <v>283</v>
      </c>
      <c r="E154" s="0" t="s">
        <v>154</v>
      </c>
      <c r="F154" s="0" t="s">
        <v>464</v>
      </c>
      <c r="G154" s="0" t="s">
        <v>269</v>
      </c>
      <c r="H154" s="0">
        <v>12</v>
      </c>
      <c r="I154" s="0">
        <v>50</v>
      </c>
      <c r="J154" s="0">
        <v>2784</v>
      </c>
    </row>
    <row r="155">
      <c r="A155" s="0" t="s">
        <v>28</v>
      </c>
      <c r="B155" s="0" t="s">
        <v>30</v>
      </c>
      <c r="C155" s="0" t="s">
        <v>180</v>
      </c>
      <c r="D155" s="0" t="s">
        <v>283</v>
      </c>
      <c r="E155" s="0" t="s">
        <v>154</v>
      </c>
      <c r="F155" s="0" t="s">
        <v>427</v>
      </c>
      <c r="G155" s="0" t="s">
        <v>465</v>
      </c>
      <c r="H155" s="0">
        <v>12</v>
      </c>
      <c r="I155" s="0">
        <v>50</v>
      </c>
      <c r="J155" s="0">
        <v>2784</v>
      </c>
    </row>
    <row r="156">
      <c r="A156" s="0" t="s">
        <v>28</v>
      </c>
      <c r="B156" s="0" t="s">
        <v>30</v>
      </c>
      <c r="C156" s="0" t="s">
        <v>180</v>
      </c>
      <c r="D156" s="0" t="s">
        <v>283</v>
      </c>
      <c r="E156" s="0" t="s">
        <v>154</v>
      </c>
      <c r="F156" s="0" t="s">
        <v>429</v>
      </c>
      <c r="G156" s="0" t="s">
        <v>536</v>
      </c>
      <c r="H156" s="0">
        <v>12</v>
      </c>
      <c r="I156" s="0">
        <v>50</v>
      </c>
      <c r="J156" s="0">
        <v>2784</v>
      </c>
    </row>
    <row r="157">
      <c r="A157" s="0" t="s">
        <v>28</v>
      </c>
      <c r="B157" s="0" t="s">
        <v>30</v>
      </c>
      <c r="C157" s="0" t="s">
        <v>180</v>
      </c>
      <c r="D157" s="0" t="s">
        <v>283</v>
      </c>
      <c r="E157" s="0" t="s">
        <v>154</v>
      </c>
      <c r="F157" s="0" t="s">
        <v>467</v>
      </c>
      <c r="G157" s="0" t="s">
        <v>270</v>
      </c>
      <c r="H157" s="0">
        <v>12</v>
      </c>
      <c r="I157" s="0">
        <v>50</v>
      </c>
      <c r="J157" s="0">
        <v>2784</v>
      </c>
    </row>
    <row r="158">
      <c r="A158" s="0" t="s">
        <v>28</v>
      </c>
      <c r="B158" s="0" t="s">
        <v>30</v>
      </c>
      <c r="C158" s="0" t="s">
        <v>180</v>
      </c>
      <c r="D158" s="0" t="s">
        <v>283</v>
      </c>
      <c r="E158" s="0" t="s">
        <v>154</v>
      </c>
      <c r="F158" s="0" t="s">
        <v>468</v>
      </c>
      <c r="G158" s="0" t="s">
        <v>271</v>
      </c>
      <c r="H158" s="0">
        <v>12</v>
      </c>
      <c r="I158" s="0">
        <v>50</v>
      </c>
      <c r="J158" s="0">
        <v>2784</v>
      </c>
    </row>
    <row r="159">
      <c r="A159" s="0" t="s">
        <v>28</v>
      </c>
      <c r="B159" s="0" t="s">
        <v>30</v>
      </c>
      <c r="C159" s="0" t="s">
        <v>180</v>
      </c>
      <c r="D159" s="0" t="s">
        <v>283</v>
      </c>
      <c r="E159" s="0" t="s">
        <v>154</v>
      </c>
      <c r="F159" s="0" t="s">
        <v>469</v>
      </c>
      <c r="G159" s="0" t="s">
        <v>470</v>
      </c>
      <c r="H159" s="0">
        <v>12</v>
      </c>
      <c r="I159" s="0">
        <v>50</v>
      </c>
      <c r="J159" s="0">
        <v>2784</v>
      </c>
    </row>
    <row r="160">
      <c r="A160" s="0" t="s">
        <v>28</v>
      </c>
      <c r="B160" s="0" t="s">
        <v>30</v>
      </c>
      <c r="C160" s="0" t="s">
        <v>180</v>
      </c>
      <c r="D160" s="0" t="s">
        <v>283</v>
      </c>
      <c r="E160" s="0" t="s">
        <v>154</v>
      </c>
      <c r="F160" s="0" t="s">
        <v>471</v>
      </c>
      <c r="G160" s="0" t="s">
        <v>272</v>
      </c>
      <c r="H160" s="0">
        <v>12</v>
      </c>
      <c r="I160" s="0">
        <v>50</v>
      </c>
      <c r="J160" s="0">
        <v>2784</v>
      </c>
    </row>
    <row r="161">
      <c r="A161" s="0" t="s">
        <v>28</v>
      </c>
      <c r="B161" s="0" t="s">
        <v>30</v>
      </c>
      <c r="C161" s="0" t="s">
        <v>180</v>
      </c>
      <c r="D161" s="0" t="s">
        <v>283</v>
      </c>
      <c r="E161" s="0" t="s">
        <v>154</v>
      </c>
      <c r="F161" s="0" t="s">
        <v>472</v>
      </c>
      <c r="G161" s="0" t="s">
        <v>473</v>
      </c>
      <c r="H161" s="0">
        <v>12</v>
      </c>
      <c r="I161" s="0">
        <v>50</v>
      </c>
      <c r="J161" s="0">
        <v>2784</v>
      </c>
    </row>
    <row r="162">
      <c r="A162" s="0" t="s">
        <v>28</v>
      </c>
      <c r="B162" s="0" t="s">
        <v>30</v>
      </c>
      <c r="C162" s="0" t="s">
        <v>180</v>
      </c>
      <c r="D162" s="0" t="s">
        <v>283</v>
      </c>
      <c r="E162" s="0" t="s">
        <v>154</v>
      </c>
      <c r="F162" s="0" t="s">
        <v>331</v>
      </c>
      <c r="G162" s="0" t="s">
        <v>332</v>
      </c>
      <c r="H162" s="0">
        <v>12</v>
      </c>
      <c r="I162" s="0">
        <v>50</v>
      </c>
      <c r="J162" s="0">
        <v>2784</v>
      </c>
    </row>
    <row r="163">
      <c r="A163" s="0" t="s">
        <v>28</v>
      </c>
      <c r="B163" s="0" t="s">
        <v>30</v>
      </c>
      <c r="C163" s="0" t="s">
        <v>180</v>
      </c>
      <c r="D163" s="0" t="s">
        <v>283</v>
      </c>
      <c r="E163" s="0" t="s">
        <v>154</v>
      </c>
      <c r="F163" s="0" t="s">
        <v>474</v>
      </c>
      <c r="G163" s="0" t="s">
        <v>272</v>
      </c>
      <c r="H163" s="0">
        <v>12</v>
      </c>
      <c r="I163" s="0">
        <v>50</v>
      </c>
      <c r="J163" s="0">
        <v>2784</v>
      </c>
    </row>
    <row r="164">
      <c r="A164" s="0" t="s">
        <v>28</v>
      </c>
      <c r="B164" s="0" t="s">
        <v>30</v>
      </c>
      <c r="C164" s="0" t="s">
        <v>180</v>
      </c>
      <c r="D164" s="0" t="s">
        <v>283</v>
      </c>
      <c r="E164" s="0" t="s">
        <v>154</v>
      </c>
      <c r="F164" s="0" t="s">
        <v>475</v>
      </c>
      <c r="G164" s="0" t="s">
        <v>476</v>
      </c>
      <c r="H164" s="0">
        <v>12</v>
      </c>
      <c r="I164" s="0">
        <v>50</v>
      </c>
      <c r="J164" s="0">
        <v>2784</v>
      </c>
    </row>
    <row r="165">
      <c r="A165" s="0" t="s">
        <v>28</v>
      </c>
      <c r="B165" s="0" t="s">
        <v>30</v>
      </c>
      <c r="C165" s="0" t="s">
        <v>180</v>
      </c>
      <c r="D165" s="0" t="s">
        <v>283</v>
      </c>
      <c r="E165" s="0" t="s">
        <v>154</v>
      </c>
      <c r="F165" s="0" t="s">
        <v>477</v>
      </c>
      <c r="G165" s="0" t="s">
        <v>478</v>
      </c>
      <c r="H165" s="0">
        <v>12</v>
      </c>
      <c r="I165" s="0">
        <v>50</v>
      </c>
      <c r="J165" s="0">
        <v>2784</v>
      </c>
    </row>
    <row r="166">
      <c r="A166" s="0" t="s">
        <v>28</v>
      </c>
      <c r="B166" s="0" t="s">
        <v>30</v>
      </c>
      <c r="C166" s="0" t="s">
        <v>180</v>
      </c>
      <c r="D166" s="0" t="s">
        <v>283</v>
      </c>
      <c r="E166" s="0" t="s">
        <v>154</v>
      </c>
      <c r="F166" s="0" t="s">
        <v>479</v>
      </c>
      <c r="G166" s="0" t="s">
        <v>273</v>
      </c>
      <c r="H166" s="0">
        <v>12</v>
      </c>
      <c r="I166" s="0">
        <v>50</v>
      </c>
      <c r="J166" s="0">
        <v>2784</v>
      </c>
    </row>
    <row r="167">
      <c r="A167" s="0" t="s">
        <v>28</v>
      </c>
      <c r="B167" s="0" t="s">
        <v>30</v>
      </c>
      <c r="C167" s="0" t="s">
        <v>180</v>
      </c>
      <c r="D167" s="0" t="s">
        <v>283</v>
      </c>
      <c r="E167" s="0" t="s">
        <v>154</v>
      </c>
      <c r="F167" s="0" t="s">
        <v>480</v>
      </c>
      <c r="G167" s="0" t="s">
        <v>274</v>
      </c>
      <c r="H167" s="0">
        <v>12</v>
      </c>
      <c r="I167" s="0">
        <v>50</v>
      </c>
      <c r="J167" s="0">
        <v>2784</v>
      </c>
    </row>
    <row r="168">
      <c r="A168" s="0" t="s">
        <v>28</v>
      </c>
      <c r="B168" s="0" t="s">
        <v>30</v>
      </c>
      <c r="C168" s="0" t="s">
        <v>180</v>
      </c>
      <c r="D168" s="0" t="s">
        <v>283</v>
      </c>
      <c r="E168" s="0" t="s">
        <v>154</v>
      </c>
      <c r="F168" s="0" t="s">
        <v>481</v>
      </c>
      <c r="G168" s="0" t="s">
        <v>275</v>
      </c>
      <c r="H168" s="0">
        <v>12</v>
      </c>
      <c r="I168" s="0">
        <v>50</v>
      </c>
      <c r="J168" s="0">
        <v>2784</v>
      </c>
    </row>
    <row r="169">
      <c r="A169" s="0" t="s">
        <v>28</v>
      </c>
      <c r="B169" s="0" t="s">
        <v>30</v>
      </c>
      <c r="C169" s="0" t="s">
        <v>180</v>
      </c>
      <c r="D169" s="0" t="s">
        <v>283</v>
      </c>
      <c r="E169" s="0" t="s">
        <v>154</v>
      </c>
      <c r="F169" s="0" t="s">
        <v>482</v>
      </c>
      <c r="G169" s="0" t="s">
        <v>483</v>
      </c>
      <c r="H169" s="0">
        <v>12</v>
      </c>
      <c r="I169" s="0">
        <v>50</v>
      </c>
      <c r="J169" s="0">
        <v>2784</v>
      </c>
    </row>
    <row r="170">
      <c r="A170" s="0" t="s">
        <v>28</v>
      </c>
      <c r="B170" s="0" t="s">
        <v>30</v>
      </c>
      <c r="C170" s="0" t="s">
        <v>180</v>
      </c>
      <c r="D170" s="0" t="s">
        <v>283</v>
      </c>
      <c r="E170" s="0" t="s">
        <v>154</v>
      </c>
      <c r="F170" s="0" t="s">
        <v>484</v>
      </c>
      <c r="G170" s="0" t="s">
        <v>272</v>
      </c>
      <c r="H170" s="0">
        <v>12</v>
      </c>
      <c r="I170" s="0">
        <v>50</v>
      </c>
      <c r="J170" s="0">
        <v>2784</v>
      </c>
    </row>
    <row r="171">
      <c r="A171" s="0" t="s">
        <v>28</v>
      </c>
      <c r="B171" s="0" t="s">
        <v>30</v>
      </c>
      <c r="C171" s="0" t="s">
        <v>180</v>
      </c>
      <c r="D171" s="0" t="s">
        <v>283</v>
      </c>
      <c r="E171" s="0" t="s">
        <v>154</v>
      </c>
      <c r="F171" s="0" t="s">
        <v>485</v>
      </c>
      <c r="G171" s="0" t="s">
        <v>473</v>
      </c>
      <c r="H171" s="0">
        <v>12</v>
      </c>
      <c r="I171" s="0">
        <v>50</v>
      </c>
      <c r="J171" s="0">
        <v>2784</v>
      </c>
    </row>
    <row r="172">
      <c r="A172" s="0" t="s">
        <v>28</v>
      </c>
      <c r="B172" s="0" t="s">
        <v>30</v>
      </c>
      <c r="C172" s="0" t="s">
        <v>180</v>
      </c>
      <c r="D172" s="0" t="s">
        <v>283</v>
      </c>
      <c r="E172" s="0" t="s">
        <v>154</v>
      </c>
      <c r="F172" s="0" t="s">
        <v>486</v>
      </c>
      <c r="G172" s="0" t="s">
        <v>272</v>
      </c>
      <c r="H172" s="0">
        <v>12</v>
      </c>
      <c r="I172" s="0">
        <v>50</v>
      </c>
      <c r="J172" s="0">
        <v>2784</v>
      </c>
    </row>
    <row r="173">
      <c r="A173" s="0" t="s">
        <v>28</v>
      </c>
      <c r="B173" s="0" t="s">
        <v>30</v>
      </c>
      <c r="C173" s="0" t="s">
        <v>180</v>
      </c>
      <c r="D173" s="0" t="s">
        <v>283</v>
      </c>
      <c r="E173" s="0" t="s">
        <v>154</v>
      </c>
      <c r="F173" s="0" t="s">
        <v>487</v>
      </c>
      <c r="G173" s="0" t="s">
        <v>276</v>
      </c>
      <c r="H173" s="0">
        <v>12</v>
      </c>
      <c r="I173" s="0">
        <v>50</v>
      </c>
      <c r="J173" s="0">
        <v>2784</v>
      </c>
    </row>
    <row r="174">
      <c r="A174" s="0" t="s">
        <v>28</v>
      </c>
      <c r="B174" s="0" t="s">
        <v>30</v>
      </c>
      <c r="C174" s="0" t="s">
        <v>180</v>
      </c>
      <c r="D174" s="0" t="s">
        <v>283</v>
      </c>
      <c r="E174" s="0" t="s">
        <v>154</v>
      </c>
      <c r="F174" s="0" t="s">
        <v>488</v>
      </c>
      <c r="G174" s="0" t="s">
        <v>489</v>
      </c>
      <c r="H174" s="0">
        <v>12</v>
      </c>
      <c r="I174" s="0">
        <v>50</v>
      </c>
      <c r="J174" s="0">
        <v>2784</v>
      </c>
    </row>
    <row r="175">
      <c r="A175" s="0" t="s">
        <v>28</v>
      </c>
      <c r="B175" s="0" t="s">
        <v>30</v>
      </c>
      <c r="C175" s="0" t="s">
        <v>180</v>
      </c>
      <c r="D175" s="0" t="s">
        <v>283</v>
      </c>
      <c r="E175" s="0" t="s">
        <v>154</v>
      </c>
      <c r="F175" s="0" t="s">
        <v>490</v>
      </c>
      <c r="G175" s="0" t="s">
        <v>491</v>
      </c>
      <c r="H175" s="0">
        <v>12</v>
      </c>
      <c r="I175" s="0">
        <v>50</v>
      </c>
      <c r="J175" s="0">
        <v>2784</v>
      </c>
    </row>
    <row r="176">
      <c r="A176" s="0" t="s">
        <v>28</v>
      </c>
      <c r="B176" s="0" t="s">
        <v>30</v>
      </c>
      <c r="C176" s="0" t="s">
        <v>180</v>
      </c>
      <c r="D176" s="0" t="s">
        <v>283</v>
      </c>
      <c r="E176" s="0" t="s">
        <v>154</v>
      </c>
      <c r="F176" s="0" t="s">
        <v>492</v>
      </c>
      <c r="G176" s="0" t="s">
        <v>493</v>
      </c>
      <c r="H176" s="0">
        <v>12</v>
      </c>
      <c r="I176" s="0">
        <v>50</v>
      </c>
      <c r="J176" s="0">
        <v>2784</v>
      </c>
    </row>
    <row r="177">
      <c r="A177" s="0" t="s">
        <v>28</v>
      </c>
      <c r="B177" s="0" t="s">
        <v>30</v>
      </c>
      <c r="C177" s="0" t="s">
        <v>180</v>
      </c>
      <c r="D177" s="0" t="s">
        <v>283</v>
      </c>
      <c r="E177" s="0" t="s">
        <v>154</v>
      </c>
      <c r="F177" s="0" t="s">
        <v>494</v>
      </c>
      <c r="G177" s="0" t="s">
        <v>277</v>
      </c>
      <c r="H177" s="0">
        <v>12</v>
      </c>
      <c r="I177" s="0">
        <v>50</v>
      </c>
      <c r="J177" s="0">
        <v>2784</v>
      </c>
    </row>
    <row r="178">
      <c r="A178" s="0" t="s">
        <v>28</v>
      </c>
      <c r="B178" s="0" t="s">
        <v>30</v>
      </c>
      <c r="C178" s="0" t="s">
        <v>180</v>
      </c>
      <c r="D178" s="0" t="s">
        <v>283</v>
      </c>
      <c r="E178" s="0" t="s">
        <v>154</v>
      </c>
      <c r="F178" s="0" t="s">
        <v>495</v>
      </c>
      <c r="G178" s="0" t="s">
        <v>257</v>
      </c>
      <c r="H178" s="0">
        <v>12</v>
      </c>
      <c r="I178" s="0">
        <v>50</v>
      </c>
      <c r="J178" s="0">
        <v>2784</v>
      </c>
    </row>
    <row r="179">
      <c r="A179" s="0" t="s">
        <v>28</v>
      </c>
      <c r="B179" s="0" t="s">
        <v>30</v>
      </c>
      <c r="C179" s="0" t="s">
        <v>180</v>
      </c>
      <c r="D179" s="0" t="s">
        <v>283</v>
      </c>
      <c r="E179" s="0" t="s">
        <v>154</v>
      </c>
      <c r="F179" s="0" t="s">
        <v>496</v>
      </c>
      <c r="G179" s="0" t="s">
        <v>286</v>
      </c>
      <c r="H179" s="0">
        <v>12</v>
      </c>
      <c r="I179" s="0">
        <v>50</v>
      </c>
      <c r="J179" s="0">
        <v>2784</v>
      </c>
    </row>
    <row r="180">
      <c r="A180" s="0" t="s">
        <v>28</v>
      </c>
      <c r="B180" s="0" t="s">
        <v>30</v>
      </c>
      <c r="C180" s="0" t="s">
        <v>180</v>
      </c>
      <c r="D180" s="0" t="s">
        <v>283</v>
      </c>
      <c r="E180" s="0" t="s">
        <v>154</v>
      </c>
      <c r="F180" s="0" t="s">
        <v>497</v>
      </c>
      <c r="G180" s="0" t="s">
        <v>498</v>
      </c>
      <c r="H180" s="0">
        <v>12</v>
      </c>
      <c r="I180" s="0">
        <v>50</v>
      </c>
      <c r="J180" s="0">
        <v>2784</v>
      </c>
    </row>
    <row r="181">
      <c r="A181" s="0" t="s">
        <v>28</v>
      </c>
      <c r="B181" s="0" t="s">
        <v>30</v>
      </c>
      <c r="C181" s="0" t="s">
        <v>180</v>
      </c>
      <c r="D181" s="0" t="s">
        <v>283</v>
      </c>
      <c r="E181" s="0" t="s">
        <v>154</v>
      </c>
      <c r="F181" s="0" t="s">
        <v>499</v>
      </c>
      <c r="G181" s="0" t="s">
        <v>537</v>
      </c>
      <c r="H181" s="0">
        <v>12</v>
      </c>
      <c r="I181" s="0">
        <v>50</v>
      </c>
      <c r="J181" s="0">
        <v>2784</v>
      </c>
    </row>
    <row r="182">
      <c r="A182" s="0" t="s">
        <v>28</v>
      </c>
      <c r="B182" s="0" t="s">
        <v>30</v>
      </c>
      <c r="C182" s="0" t="s">
        <v>180</v>
      </c>
      <c r="D182" s="0" t="s">
        <v>283</v>
      </c>
      <c r="E182" s="0" t="s">
        <v>154</v>
      </c>
      <c r="F182" s="0" t="s">
        <v>501</v>
      </c>
      <c r="G182" s="0" t="s">
        <v>502</v>
      </c>
      <c r="H182" s="0">
        <v>12</v>
      </c>
      <c r="I182" s="0">
        <v>50</v>
      </c>
      <c r="J182" s="0">
        <v>2784</v>
      </c>
    </row>
    <row r="183">
      <c r="A183" s="0" t="s">
        <v>28</v>
      </c>
      <c r="B183" s="0" t="s">
        <v>30</v>
      </c>
      <c r="C183" s="0" t="s">
        <v>180</v>
      </c>
      <c r="D183" s="0" t="s">
        <v>283</v>
      </c>
      <c r="E183" s="0" t="s">
        <v>154</v>
      </c>
      <c r="F183" s="0" t="s">
        <v>503</v>
      </c>
      <c r="G183" s="0" t="s">
        <v>504</v>
      </c>
      <c r="H183" s="0">
        <v>12</v>
      </c>
      <c r="I183" s="0">
        <v>50</v>
      </c>
      <c r="J183" s="0">
        <v>2784</v>
      </c>
    </row>
    <row r="184">
      <c r="A184" s="0" t="s">
        <v>28</v>
      </c>
      <c r="B184" s="0" t="s">
        <v>30</v>
      </c>
      <c r="C184" s="0" t="s">
        <v>180</v>
      </c>
      <c r="D184" s="0" t="s">
        <v>283</v>
      </c>
      <c r="E184" s="0" t="s">
        <v>154</v>
      </c>
      <c r="F184" s="0" t="s">
        <v>505</v>
      </c>
      <c r="G184" s="0" t="s">
        <v>506</v>
      </c>
      <c r="H184" s="0">
        <v>12</v>
      </c>
      <c r="I184" s="0">
        <v>50</v>
      </c>
      <c r="J184" s="0">
        <v>2784</v>
      </c>
    </row>
    <row r="185">
      <c r="A185" s="0" t="s">
        <v>28</v>
      </c>
      <c r="B185" s="0" t="s">
        <v>30</v>
      </c>
      <c r="C185" s="0" t="s">
        <v>180</v>
      </c>
      <c r="D185" s="0" t="s">
        <v>283</v>
      </c>
      <c r="E185" s="0" t="s">
        <v>154</v>
      </c>
      <c r="F185" s="0" t="s">
        <v>507</v>
      </c>
      <c r="G185" s="0" t="s">
        <v>508</v>
      </c>
      <c r="H185" s="0">
        <v>12</v>
      </c>
      <c r="I185" s="0">
        <v>50</v>
      </c>
      <c r="J185" s="0">
        <v>2784</v>
      </c>
    </row>
    <row r="186">
      <c r="A186" s="0" t="s">
        <v>28</v>
      </c>
      <c r="B186" s="0" t="s">
        <v>30</v>
      </c>
      <c r="C186" s="0" t="s">
        <v>180</v>
      </c>
      <c r="D186" s="0" t="s">
        <v>283</v>
      </c>
      <c r="E186" s="0" t="s">
        <v>154</v>
      </c>
      <c r="F186" s="0" t="s">
        <v>509</v>
      </c>
      <c r="G186" s="0" t="s">
        <v>114</v>
      </c>
      <c r="H186" s="0">
        <v>12</v>
      </c>
      <c r="I186" s="0">
        <v>50</v>
      </c>
      <c r="J186" s="0">
        <v>2784</v>
      </c>
    </row>
    <row r="187">
      <c r="A187" s="0" t="s">
        <v>28</v>
      </c>
      <c r="B187" s="0" t="s">
        <v>30</v>
      </c>
      <c r="C187" s="0" t="s">
        <v>180</v>
      </c>
      <c r="D187" s="0" t="s">
        <v>283</v>
      </c>
      <c r="E187" s="0" t="s">
        <v>154</v>
      </c>
      <c r="F187" s="0" t="s">
        <v>510</v>
      </c>
      <c r="G187" s="0" t="s">
        <v>511</v>
      </c>
      <c r="H187" s="0">
        <v>12</v>
      </c>
      <c r="I187" s="0">
        <v>50</v>
      </c>
      <c r="J187" s="0">
        <v>2784</v>
      </c>
    </row>
    <row r="188">
      <c r="A188" s="0" t="s">
        <v>28</v>
      </c>
      <c r="B188" s="0" t="s">
        <v>30</v>
      </c>
      <c r="C188" s="0" t="s">
        <v>180</v>
      </c>
      <c r="D188" s="0" t="s">
        <v>283</v>
      </c>
      <c r="E188" s="0" t="s">
        <v>154</v>
      </c>
      <c r="F188" s="0" t="s">
        <v>512</v>
      </c>
      <c r="G188" s="0" t="s">
        <v>538</v>
      </c>
      <c r="H188" s="0">
        <v>12</v>
      </c>
      <c r="I188" s="0">
        <v>50</v>
      </c>
      <c r="J188" s="0">
        <v>2784</v>
      </c>
    </row>
    <row r="189">
      <c r="A189" s="0" t="s">
        <v>28</v>
      </c>
      <c r="B189" s="0" t="s">
        <v>30</v>
      </c>
      <c r="C189" s="0" t="s">
        <v>180</v>
      </c>
      <c r="D189" s="0" t="s">
        <v>283</v>
      </c>
      <c r="E189" s="0" t="s">
        <v>154</v>
      </c>
      <c r="F189" s="0" t="s">
        <v>514</v>
      </c>
      <c r="G189" s="0" t="s">
        <v>515</v>
      </c>
      <c r="H189" s="0">
        <v>12</v>
      </c>
      <c r="I189" s="0">
        <v>50</v>
      </c>
      <c r="J189" s="0">
        <v>2784</v>
      </c>
    </row>
    <row r="190">
      <c r="A190" s="0" t="s">
        <v>28</v>
      </c>
      <c r="B190" s="0" t="s">
        <v>30</v>
      </c>
      <c r="C190" s="0" t="s">
        <v>180</v>
      </c>
      <c r="D190" s="0" t="s">
        <v>283</v>
      </c>
      <c r="E190" s="0" t="s">
        <v>154</v>
      </c>
      <c r="F190" s="0" t="s">
        <v>516</v>
      </c>
      <c r="G190" s="0" t="s">
        <v>450</v>
      </c>
      <c r="H190" s="0">
        <v>12</v>
      </c>
      <c r="I190" s="0">
        <v>50</v>
      </c>
      <c r="J190" s="0">
        <v>2784</v>
      </c>
    </row>
    <row r="191">
      <c r="A191" s="0" t="s">
        <v>28</v>
      </c>
      <c r="B191" s="0" t="s">
        <v>30</v>
      </c>
      <c r="C191" s="0" t="s">
        <v>180</v>
      </c>
      <c r="D191" s="0" t="s">
        <v>283</v>
      </c>
      <c r="E191" s="0" t="s">
        <v>154</v>
      </c>
      <c r="F191" s="0" t="s">
        <v>517</v>
      </c>
      <c r="G191" s="0" t="s">
        <v>518</v>
      </c>
      <c r="H191" s="0">
        <v>12</v>
      </c>
      <c r="I191" s="0">
        <v>50</v>
      </c>
      <c r="J191" s="0">
        <v>2784</v>
      </c>
    </row>
    <row r="192">
      <c r="A192" s="0" t="s">
        <v>28</v>
      </c>
      <c r="B192" s="0" t="s">
        <v>30</v>
      </c>
      <c r="C192" s="0" t="s">
        <v>180</v>
      </c>
      <c r="D192" s="0" t="s">
        <v>283</v>
      </c>
      <c r="E192" s="0" t="s">
        <v>154</v>
      </c>
      <c r="F192" s="0" t="s">
        <v>519</v>
      </c>
      <c r="G192" s="0" t="s">
        <v>520</v>
      </c>
      <c r="H192" s="0">
        <v>12</v>
      </c>
      <c r="I192" s="0">
        <v>50</v>
      </c>
      <c r="J192" s="0">
        <v>2784</v>
      </c>
    </row>
    <row r="193">
      <c r="A193" s="0" t="s">
        <v>28</v>
      </c>
      <c r="B193" s="0" t="s">
        <v>30</v>
      </c>
      <c r="C193" s="0" t="s">
        <v>180</v>
      </c>
      <c r="D193" s="0" t="s">
        <v>283</v>
      </c>
      <c r="E193" s="0" t="s">
        <v>154</v>
      </c>
      <c r="F193" s="0" t="s">
        <v>521</v>
      </c>
      <c r="G193" s="0" t="s">
        <v>341</v>
      </c>
      <c r="H193" s="0">
        <v>12</v>
      </c>
      <c r="I193" s="0">
        <v>50</v>
      </c>
      <c r="J193" s="0">
        <v>2784</v>
      </c>
    </row>
    <row r="194">
      <c r="A194" s="0" t="s">
        <v>28</v>
      </c>
      <c r="B194" s="0" t="s">
        <v>30</v>
      </c>
      <c r="C194" s="0" t="s">
        <v>180</v>
      </c>
      <c r="D194" s="0" t="s">
        <v>283</v>
      </c>
      <c r="E194" s="0" t="s">
        <v>154</v>
      </c>
      <c r="F194" s="0" t="s">
        <v>522</v>
      </c>
      <c r="G194" s="0" t="s">
        <v>523</v>
      </c>
      <c r="H194" s="0">
        <v>12</v>
      </c>
      <c r="I194" s="0">
        <v>50</v>
      </c>
      <c r="J194" s="0">
        <v>2784</v>
      </c>
    </row>
    <row r="195">
      <c r="A195" s="0" t="s">
        <v>28</v>
      </c>
      <c r="B195" s="0" t="s">
        <v>30</v>
      </c>
      <c r="C195" s="0" t="s">
        <v>180</v>
      </c>
      <c r="D195" s="0" t="s">
        <v>283</v>
      </c>
      <c r="E195" s="0" t="s">
        <v>154</v>
      </c>
      <c r="F195" s="0" t="s">
        <v>524</v>
      </c>
      <c r="G195" s="0" t="s">
        <v>539</v>
      </c>
      <c r="H195" s="0">
        <v>12</v>
      </c>
      <c r="I195" s="0">
        <v>50</v>
      </c>
      <c r="J195" s="0">
        <v>2784</v>
      </c>
    </row>
    <row r="196">
      <c r="A196" s="0" t="s">
        <v>28</v>
      </c>
      <c r="B196" s="0" t="s">
        <v>30</v>
      </c>
      <c r="C196" s="0" t="s">
        <v>180</v>
      </c>
      <c r="D196" s="0" t="s">
        <v>283</v>
      </c>
      <c r="E196" s="0" t="s">
        <v>154</v>
      </c>
      <c r="F196" s="0" t="s">
        <v>526</v>
      </c>
      <c r="G196" s="0" t="s">
        <v>540</v>
      </c>
      <c r="H196" s="0">
        <v>12</v>
      </c>
      <c r="I196" s="0">
        <v>50</v>
      </c>
      <c r="J196" s="0">
        <v>2784</v>
      </c>
    </row>
    <row r="197">
      <c r="A197" s="0" t="s">
        <v>28</v>
      </c>
      <c r="B197" s="0" t="s">
        <v>30</v>
      </c>
      <c r="C197" s="0" t="s">
        <v>180</v>
      </c>
      <c r="D197" s="0" t="s">
        <v>283</v>
      </c>
      <c r="E197" s="0" t="s">
        <v>154</v>
      </c>
      <c r="F197" s="0" t="s">
        <v>528</v>
      </c>
      <c r="G197" s="0" t="s">
        <v>529</v>
      </c>
      <c r="H197" s="0">
        <v>12</v>
      </c>
      <c r="I197" s="0">
        <v>50</v>
      </c>
      <c r="J197" s="0">
        <v>2784</v>
      </c>
    </row>
    <row r="198">
      <c r="A198" s="0" t="s">
        <v>28</v>
      </c>
      <c r="B198" s="0" t="s">
        <v>30</v>
      </c>
      <c r="C198" s="0" t="s">
        <v>180</v>
      </c>
      <c r="D198" s="0" t="s">
        <v>283</v>
      </c>
      <c r="E198" s="0" t="s">
        <v>154</v>
      </c>
      <c r="F198" s="0" t="s">
        <v>530</v>
      </c>
      <c r="G198" s="0" t="s">
        <v>287</v>
      </c>
      <c r="H198" s="0">
        <v>12</v>
      </c>
      <c r="I198" s="0">
        <v>50</v>
      </c>
      <c r="J198" s="0">
        <v>2784</v>
      </c>
    </row>
    <row r="199">
      <c r="A199" s="0" t="s">
        <v>28</v>
      </c>
      <c r="B199" s="0" t="s">
        <v>30</v>
      </c>
      <c r="C199" s="0" t="s">
        <v>180</v>
      </c>
      <c r="D199" s="0" t="s">
        <v>283</v>
      </c>
      <c r="E199" s="0" t="s">
        <v>154</v>
      </c>
      <c r="F199" s="0" t="s">
        <v>531</v>
      </c>
      <c r="G199" s="0" t="s">
        <v>532</v>
      </c>
      <c r="H199" s="0">
        <v>12</v>
      </c>
      <c r="I199" s="0">
        <v>50</v>
      </c>
      <c r="J199" s="0">
        <v>2784</v>
      </c>
    </row>
    <row r="200">
      <c r="A200" s="0" t="s">
        <v>28</v>
      </c>
      <c r="B200" s="0" t="s">
        <v>30</v>
      </c>
      <c r="C200" s="0" t="s">
        <v>180</v>
      </c>
      <c r="D200" s="0" t="s">
        <v>283</v>
      </c>
      <c r="E200" s="0" t="s">
        <v>154</v>
      </c>
      <c r="F200" s="0" t="s">
        <v>336</v>
      </c>
      <c r="G200" s="0" t="s">
        <v>354</v>
      </c>
      <c r="H200" s="0">
        <v>12</v>
      </c>
      <c r="I200" s="0">
        <v>50</v>
      </c>
      <c r="J200" s="0">
        <v>2784</v>
      </c>
    </row>
    <row r="201">
      <c r="A201" s="0" t="s">
        <v>28</v>
      </c>
      <c r="B201" s="0" t="s">
        <v>30</v>
      </c>
      <c r="C201" s="0" t="s">
        <v>180</v>
      </c>
      <c r="D201" s="0" t="s">
        <v>283</v>
      </c>
      <c r="E201" s="0" t="s">
        <v>154</v>
      </c>
      <c r="F201" s="0" t="s">
        <v>338</v>
      </c>
      <c r="G201" s="0" t="s">
        <v>355</v>
      </c>
      <c r="H201" s="0">
        <v>12</v>
      </c>
      <c r="I201" s="0">
        <v>50</v>
      </c>
      <c r="J201" s="0">
        <v>2784</v>
      </c>
    </row>
    <row r="202">
      <c r="A202" s="0" t="s">
        <v>28</v>
      </c>
      <c r="B202" s="0" t="s">
        <v>30</v>
      </c>
      <c r="C202" s="0" t="s">
        <v>180</v>
      </c>
      <c r="D202" s="0" t="s">
        <v>283</v>
      </c>
      <c r="E202" s="0" t="s">
        <v>154</v>
      </c>
      <c r="F202" s="0" t="s">
        <v>340</v>
      </c>
      <c r="G202" s="0" t="s">
        <v>341</v>
      </c>
      <c r="H202" s="0">
        <v>12</v>
      </c>
      <c r="I202" s="0">
        <v>50</v>
      </c>
      <c r="J202" s="0">
        <v>2784</v>
      </c>
    </row>
    <row r="203">
      <c r="A203" s="0" t="s">
        <v>28</v>
      </c>
      <c r="B203" s="0" t="s">
        <v>30</v>
      </c>
      <c r="C203" s="0" t="s">
        <v>180</v>
      </c>
      <c r="D203" s="0" t="s">
        <v>283</v>
      </c>
      <c r="E203" s="0" t="s">
        <v>154</v>
      </c>
      <c r="F203" s="0" t="s">
        <v>342</v>
      </c>
      <c r="G203" s="0" t="s">
        <v>341</v>
      </c>
      <c r="H203" s="0">
        <v>12</v>
      </c>
      <c r="I203" s="0">
        <v>50</v>
      </c>
      <c r="J203" s="0">
        <v>2784</v>
      </c>
    </row>
    <row r="204">
      <c r="A204" s="0" t="s">
        <v>28</v>
      </c>
      <c r="B204" s="0" t="s">
        <v>30</v>
      </c>
      <c r="C204" s="0" t="s">
        <v>180</v>
      </c>
      <c r="D204" s="0" t="s">
        <v>283</v>
      </c>
      <c r="E204" s="0" t="s">
        <v>154</v>
      </c>
      <c r="F204" s="0" t="s">
        <v>343</v>
      </c>
      <c r="G204" s="0" t="s">
        <v>344</v>
      </c>
      <c r="H204" s="0">
        <v>12</v>
      </c>
      <c r="I204" s="0">
        <v>50</v>
      </c>
      <c r="J204" s="0">
        <v>2784</v>
      </c>
    </row>
    <row r="205">
      <c r="A205" s="0" t="s">
        <v>28</v>
      </c>
      <c r="B205" s="0" t="s">
        <v>30</v>
      </c>
      <c r="C205" s="0" t="s">
        <v>180</v>
      </c>
      <c r="D205" s="0" t="s">
        <v>283</v>
      </c>
      <c r="E205" s="0" t="s">
        <v>154</v>
      </c>
      <c r="F205" s="0" t="s">
        <v>345</v>
      </c>
      <c r="G205" s="0" t="s">
        <v>354</v>
      </c>
      <c r="H205" s="0">
        <v>12</v>
      </c>
      <c r="I205" s="0">
        <v>50</v>
      </c>
      <c r="J205" s="0">
        <v>2784</v>
      </c>
    </row>
    <row r="206">
      <c r="A206" s="0" t="s">
        <v>28</v>
      </c>
      <c r="B206" s="0" t="s">
        <v>30</v>
      </c>
      <c r="C206" s="0" t="s">
        <v>182</v>
      </c>
      <c r="D206" s="0" t="s">
        <v>289</v>
      </c>
      <c r="E206" s="0" t="s">
        <v>154</v>
      </c>
      <c r="F206" s="0" t="s">
        <v>327</v>
      </c>
      <c r="G206" s="0" t="s">
        <v>30</v>
      </c>
      <c r="H206" s="0">
        <v>12</v>
      </c>
      <c r="I206" s="0">
        <v>52</v>
      </c>
      <c r="J206" s="0">
        <v>2786</v>
      </c>
    </row>
    <row r="207">
      <c r="A207" s="0" t="s">
        <v>28</v>
      </c>
      <c r="B207" s="0" t="s">
        <v>30</v>
      </c>
      <c r="C207" s="0" t="s">
        <v>182</v>
      </c>
      <c r="D207" s="0" t="s">
        <v>289</v>
      </c>
      <c r="E207" s="0" t="s">
        <v>154</v>
      </c>
      <c r="F207" s="0" t="s">
        <v>328</v>
      </c>
      <c r="G207" s="0" t="s">
        <v>289</v>
      </c>
      <c r="H207" s="0">
        <v>12</v>
      </c>
      <c r="I207" s="0">
        <v>52</v>
      </c>
      <c r="J207" s="0">
        <v>2786</v>
      </c>
    </row>
    <row r="208">
      <c r="A208" s="0" t="s">
        <v>28</v>
      </c>
      <c r="B208" s="0" t="s">
        <v>30</v>
      </c>
      <c r="C208" s="0" t="s">
        <v>182</v>
      </c>
      <c r="D208" s="0" t="s">
        <v>289</v>
      </c>
      <c r="E208" s="0" t="s">
        <v>154</v>
      </c>
      <c r="F208" s="0" t="s">
        <v>329</v>
      </c>
      <c r="G208" s="0" t="s">
        <v>182</v>
      </c>
      <c r="H208" s="0">
        <v>12</v>
      </c>
      <c r="I208" s="0">
        <v>52</v>
      </c>
      <c r="J208" s="0">
        <v>2786</v>
      </c>
    </row>
    <row r="209">
      <c r="A209" s="0" t="s">
        <v>28</v>
      </c>
      <c r="B209" s="0" t="s">
        <v>30</v>
      </c>
      <c r="C209" s="0" t="s">
        <v>182</v>
      </c>
      <c r="D209" s="0" t="s">
        <v>289</v>
      </c>
      <c r="E209" s="0" t="s">
        <v>154</v>
      </c>
      <c r="F209" s="0" t="s">
        <v>444</v>
      </c>
      <c r="G209" s="0" t="s">
        <v>535</v>
      </c>
      <c r="H209" s="0">
        <v>12</v>
      </c>
      <c r="I209" s="0">
        <v>52</v>
      </c>
      <c r="J209" s="0">
        <v>2786</v>
      </c>
    </row>
    <row r="210">
      <c r="A210" s="0" t="s">
        <v>28</v>
      </c>
      <c r="B210" s="0" t="s">
        <v>30</v>
      </c>
      <c r="C210" s="0" t="s">
        <v>182</v>
      </c>
      <c r="D210" s="0" t="s">
        <v>289</v>
      </c>
      <c r="E210" s="0" t="s">
        <v>154</v>
      </c>
      <c r="F210" s="0" t="s">
        <v>446</v>
      </c>
      <c r="G210" s="0" t="s">
        <v>341</v>
      </c>
      <c r="H210" s="0">
        <v>12</v>
      </c>
      <c r="I210" s="0">
        <v>52</v>
      </c>
      <c r="J210" s="0">
        <v>2786</v>
      </c>
    </row>
    <row r="211">
      <c r="A211" s="0" t="s">
        <v>28</v>
      </c>
      <c r="B211" s="0" t="s">
        <v>30</v>
      </c>
      <c r="C211" s="0" t="s">
        <v>182</v>
      </c>
      <c r="D211" s="0" t="s">
        <v>289</v>
      </c>
      <c r="E211" s="0" t="s">
        <v>154</v>
      </c>
      <c r="F211" s="0" t="s">
        <v>447</v>
      </c>
      <c r="G211" s="0" t="s">
        <v>448</v>
      </c>
      <c r="H211" s="0">
        <v>12</v>
      </c>
      <c r="I211" s="0">
        <v>52</v>
      </c>
      <c r="J211" s="0">
        <v>2786</v>
      </c>
    </row>
    <row r="212">
      <c r="A212" s="0" t="s">
        <v>28</v>
      </c>
      <c r="B212" s="0" t="s">
        <v>30</v>
      </c>
      <c r="C212" s="0" t="s">
        <v>182</v>
      </c>
      <c r="D212" s="0" t="s">
        <v>289</v>
      </c>
      <c r="E212" s="0" t="s">
        <v>154</v>
      </c>
      <c r="F212" s="0" t="s">
        <v>449</v>
      </c>
      <c r="G212" s="0" t="s">
        <v>450</v>
      </c>
      <c r="H212" s="0">
        <v>12</v>
      </c>
      <c r="I212" s="0">
        <v>52</v>
      </c>
      <c r="J212" s="0">
        <v>2786</v>
      </c>
    </row>
    <row r="213">
      <c r="A213" s="0" t="s">
        <v>28</v>
      </c>
      <c r="B213" s="0" t="s">
        <v>30</v>
      </c>
      <c r="C213" s="0" t="s">
        <v>182</v>
      </c>
      <c r="D213" s="0" t="s">
        <v>289</v>
      </c>
      <c r="E213" s="0" t="s">
        <v>154</v>
      </c>
      <c r="F213" s="0" t="s">
        <v>451</v>
      </c>
      <c r="G213" s="0" t="s">
        <v>452</v>
      </c>
      <c r="H213" s="0">
        <v>12</v>
      </c>
      <c r="I213" s="0">
        <v>52</v>
      </c>
      <c r="J213" s="0">
        <v>2786</v>
      </c>
    </row>
    <row r="214">
      <c r="A214" s="0" t="s">
        <v>28</v>
      </c>
      <c r="B214" s="0" t="s">
        <v>30</v>
      </c>
      <c r="C214" s="0" t="s">
        <v>182</v>
      </c>
      <c r="D214" s="0" t="s">
        <v>289</v>
      </c>
      <c r="E214" s="0" t="s">
        <v>154</v>
      </c>
      <c r="F214" s="0" t="s">
        <v>453</v>
      </c>
      <c r="G214" s="0" t="s">
        <v>454</v>
      </c>
      <c r="H214" s="0">
        <v>12</v>
      </c>
      <c r="I214" s="0">
        <v>52</v>
      </c>
      <c r="J214" s="0">
        <v>2786</v>
      </c>
    </row>
    <row r="215">
      <c r="A215" s="0" t="s">
        <v>28</v>
      </c>
      <c r="B215" s="0" t="s">
        <v>30</v>
      </c>
      <c r="C215" s="0" t="s">
        <v>182</v>
      </c>
      <c r="D215" s="0" t="s">
        <v>289</v>
      </c>
      <c r="E215" s="0" t="s">
        <v>154</v>
      </c>
      <c r="F215" s="0" t="s">
        <v>455</v>
      </c>
      <c r="G215" s="0" t="s">
        <v>456</v>
      </c>
      <c r="H215" s="0">
        <v>12</v>
      </c>
      <c r="I215" s="0">
        <v>52</v>
      </c>
      <c r="J215" s="0">
        <v>2786</v>
      </c>
    </row>
    <row r="216">
      <c r="A216" s="0" t="s">
        <v>28</v>
      </c>
      <c r="B216" s="0" t="s">
        <v>30</v>
      </c>
      <c r="C216" s="0" t="s">
        <v>182</v>
      </c>
      <c r="D216" s="0" t="s">
        <v>289</v>
      </c>
      <c r="E216" s="0" t="s">
        <v>154</v>
      </c>
      <c r="F216" s="0" t="s">
        <v>457</v>
      </c>
      <c r="G216" s="0" t="s">
        <v>458</v>
      </c>
      <c r="H216" s="0">
        <v>12</v>
      </c>
      <c r="I216" s="0">
        <v>52</v>
      </c>
      <c r="J216" s="0">
        <v>2786</v>
      </c>
    </row>
    <row r="217">
      <c r="A217" s="0" t="s">
        <v>28</v>
      </c>
      <c r="B217" s="0" t="s">
        <v>30</v>
      </c>
      <c r="C217" s="0" t="s">
        <v>182</v>
      </c>
      <c r="D217" s="0" t="s">
        <v>289</v>
      </c>
      <c r="E217" s="0" t="s">
        <v>154</v>
      </c>
      <c r="F217" s="0" t="s">
        <v>459</v>
      </c>
      <c r="G217" s="0" t="s">
        <v>290</v>
      </c>
      <c r="H217" s="0">
        <v>12</v>
      </c>
      <c r="I217" s="0">
        <v>52</v>
      </c>
      <c r="J217" s="0">
        <v>2786</v>
      </c>
    </row>
    <row r="218">
      <c r="A218" s="0" t="s">
        <v>28</v>
      </c>
      <c r="B218" s="0" t="s">
        <v>30</v>
      </c>
      <c r="C218" s="0" t="s">
        <v>182</v>
      </c>
      <c r="D218" s="0" t="s">
        <v>289</v>
      </c>
      <c r="E218" s="0" t="s">
        <v>154</v>
      </c>
      <c r="F218" s="0" t="s">
        <v>460</v>
      </c>
      <c r="G218" s="0" t="s">
        <v>268</v>
      </c>
      <c r="H218" s="0">
        <v>12</v>
      </c>
      <c r="I218" s="0">
        <v>52</v>
      </c>
      <c r="J218" s="0">
        <v>2786</v>
      </c>
    </row>
    <row r="219">
      <c r="A219" s="0" t="s">
        <v>28</v>
      </c>
      <c r="B219" s="0" t="s">
        <v>30</v>
      </c>
      <c r="C219" s="0" t="s">
        <v>182</v>
      </c>
      <c r="D219" s="0" t="s">
        <v>289</v>
      </c>
      <c r="E219" s="0" t="s">
        <v>154</v>
      </c>
      <c r="F219" s="0" t="s">
        <v>403</v>
      </c>
      <c r="G219" s="0" t="s">
        <v>461</v>
      </c>
      <c r="H219" s="0">
        <v>12</v>
      </c>
      <c r="I219" s="0">
        <v>52</v>
      </c>
      <c r="J219" s="0">
        <v>2786</v>
      </c>
    </row>
    <row r="220">
      <c r="A220" s="0" t="s">
        <v>28</v>
      </c>
      <c r="B220" s="0" t="s">
        <v>30</v>
      </c>
      <c r="C220" s="0" t="s">
        <v>182</v>
      </c>
      <c r="D220" s="0" t="s">
        <v>289</v>
      </c>
      <c r="E220" s="0" t="s">
        <v>154</v>
      </c>
      <c r="F220" s="0" t="s">
        <v>462</v>
      </c>
      <c r="G220" s="0" t="s">
        <v>463</v>
      </c>
      <c r="H220" s="0">
        <v>12</v>
      </c>
      <c r="I220" s="0">
        <v>52</v>
      </c>
      <c r="J220" s="0">
        <v>2786</v>
      </c>
    </row>
    <row r="221">
      <c r="A221" s="0" t="s">
        <v>28</v>
      </c>
      <c r="B221" s="0" t="s">
        <v>30</v>
      </c>
      <c r="C221" s="0" t="s">
        <v>182</v>
      </c>
      <c r="D221" s="0" t="s">
        <v>289</v>
      </c>
      <c r="E221" s="0" t="s">
        <v>154</v>
      </c>
      <c r="F221" s="0" t="s">
        <v>464</v>
      </c>
      <c r="G221" s="0" t="s">
        <v>269</v>
      </c>
      <c r="H221" s="0">
        <v>12</v>
      </c>
      <c r="I221" s="0">
        <v>52</v>
      </c>
      <c r="J221" s="0">
        <v>2786</v>
      </c>
    </row>
    <row r="222">
      <c r="A222" s="0" t="s">
        <v>28</v>
      </c>
      <c r="B222" s="0" t="s">
        <v>30</v>
      </c>
      <c r="C222" s="0" t="s">
        <v>182</v>
      </c>
      <c r="D222" s="0" t="s">
        <v>289</v>
      </c>
      <c r="E222" s="0" t="s">
        <v>154</v>
      </c>
      <c r="F222" s="0" t="s">
        <v>427</v>
      </c>
      <c r="G222" s="0" t="s">
        <v>465</v>
      </c>
      <c r="H222" s="0">
        <v>12</v>
      </c>
      <c r="I222" s="0">
        <v>52</v>
      </c>
      <c r="J222" s="0">
        <v>2786</v>
      </c>
    </row>
    <row r="223">
      <c r="A223" s="0" t="s">
        <v>28</v>
      </c>
      <c r="B223" s="0" t="s">
        <v>30</v>
      </c>
      <c r="C223" s="0" t="s">
        <v>182</v>
      </c>
      <c r="D223" s="0" t="s">
        <v>289</v>
      </c>
      <c r="E223" s="0" t="s">
        <v>154</v>
      </c>
      <c r="F223" s="0" t="s">
        <v>429</v>
      </c>
      <c r="G223" s="0" t="s">
        <v>541</v>
      </c>
      <c r="H223" s="0">
        <v>12</v>
      </c>
      <c r="I223" s="0">
        <v>52</v>
      </c>
      <c r="J223" s="0">
        <v>2786</v>
      </c>
    </row>
    <row r="224">
      <c r="A224" s="0" t="s">
        <v>28</v>
      </c>
      <c r="B224" s="0" t="s">
        <v>30</v>
      </c>
      <c r="C224" s="0" t="s">
        <v>182</v>
      </c>
      <c r="D224" s="0" t="s">
        <v>289</v>
      </c>
      <c r="E224" s="0" t="s">
        <v>154</v>
      </c>
      <c r="F224" s="0" t="s">
        <v>467</v>
      </c>
      <c r="G224" s="0" t="s">
        <v>270</v>
      </c>
      <c r="H224" s="0">
        <v>12</v>
      </c>
      <c r="I224" s="0">
        <v>52</v>
      </c>
      <c r="J224" s="0">
        <v>2786</v>
      </c>
    </row>
    <row r="225">
      <c r="A225" s="0" t="s">
        <v>28</v>
      </c>
      <c r="B225" s="0" t="s">
        <v>30</v>
      </c>
      <c r="C225" s="0" t="s">
        <v>182</v>
      </c>
      <c r="D225" s="0" t="s">
        <v>289</v>
      </c>
      <c r="E225" s="0" t="s">
        <v>154</v>
      </c>
      <c r="F225" s="0" t="s">
        <v>468</v>
      </c>
      <c r="G225" s="0" t="s">
        <v>271</v>
      </c>
      <c r="H225" s="0">
        <v>12</v>
      </c>
      <c r="I225" s="0">
        <v>52</v>
      </c>
      <c r="J225" s="0">
        <v>2786</v>
      </c>
    </row>
    <row r="226">
      <c r="A226" s="0" t="s">
        <v>28</v>
      </c>
      <c r="B226" s="0" t="s">
        <v>30</v>
      </c>
      <c r="C226" s="0" t="s">
        <v>182</v>
      </c>
      <c r="D226" s="0" t="s">
        <v>289</v>
      </c>
      <c r="E226" s="0" t="s">
        <v>154</v>
      </c>
      <c r="F226" s="0" t="s">
        <v>469</v>
      </c>
      <c r="G226" s="0" t="s">
        <v>470</v>
      </c>
      <c r="H226" s="0">
        <v>12</v>
      </c>
      <c r="I226" s="0">
        <v>52</v>
      </c>
      <c r="J226" s="0">
        <v>2786</v>
      </c>
    </row>
    <row r="227">
      <c r="A227" s="0" t="s">
        <v>28</v>
      </c>
      <c r="B227" s="0" t="s">
        <v>30</v>
      </c>
      <c r="C227" s="0" t="s">
        <v>182</v>
      </c>
      <c r="D227" s="0" t="s">
        <v>289</v>
      </c>
      <c r="E227" s="0" t="s">
        <v>154</v>
      </c>
      <c r="F227" s="0" t="s">
        <v>471</v>
      </c>
      <c r="G227" s="0" t="s">
        <v>272</v>
      </c>
      <c r="H227" s="0">
        <v>12</v>
      </c>
      <c r="I227" s="0">
        <v>52</v>
      </c>
      <c r="J227" s="0">
        <v>2786</v>
      </c>
    </row>
    <row r="228">
      <c r="A228" s="0" t="s">
        <v>28</v>
      </c>
      <c r="B228" s="0" t="s">
        <v>30</v>
      </c>
      <c r="C228" s="0" t="s">
        <v>182</v>
      </c>
      <c r="D228" s="0" t="s">
        <v>289</v>
      </c>
      <c r="E228" s="0" t="s">
        <v>154</v>
      </c>
      <c r="F228" s="0" t="s">
        <v>472</v>
      </c>
      <c r="G228" s="0" t="s">
        <v>473</v>
      </c>
      <c r="H228" s="0">
        <v>12</v>
      </c>
      <c r="I228" s="0">
        <v>52</v>
      </c>
      <c r="J228" s="0">
        <v>2786</v>
      </c>
    </row>
    <row r="229">
      <c r="A229" s="0" t="s">
        <v>28</v>
      </c>
      <c r="B229" s="0" t="s">
        <v>30</v>
      </c>
      <c r="C229" s="0" t="s">
        <v>182</v>
      </c>
      <c r="D229" s="0" t="s">
        <v>289</v>
      </c>
      <c r="E229" s="0" t="s">
        <v>154</v>
      </c>
      <c r="F229" s="0" t="s">
        <v>331</v>
      </c>
      <c r="G229" s="0" t="s">
        <v>332</v>
      </c>
      <c r="H229" s="0">
        <v>12</v>
      </c>
      <c r="I229" s="0">
        <v>52</v>
      </c>
      <c r="J229" s="0">
        <v>2786</v>
      </c>
    </row>
    <row r="230">
      <c r="A230" s="0" t="s">
        <v>28</v>
      </c>
      <c r="B230" s="0" t="s">
        <v>30</v>
      </c>
      <c r="C230" s="0" t="s">
        <v>182</v>
      </c>
      <c r="D230" s="0" t="s">
        <v>289</v>
      </c>
      <c r="E230" s="0" t="s">
        <v>154</v>
      </c>
      <c r="F230" s="0" t="s">
        <v>474</v>
      </c>
      <c r="G230" s="0" t="s">
        <v>272</v>
      </c>
      <c r="H230" s="0">
        <v>12</v>
      </c>
      <c r="I230" s="0">
        <v>52</v>
      </c>
      <c r="J230" s="0">
        <v>2786</v>
      </c>
    </row>
    <row r="231">
      <c r="A231" s="0" t="s">
        <v>28</v>
      </c>
      <c r="B231" s="0" t="s">
        <v>30</v>
      </c>
      <c r="C231" s="0" t="s">
        <v>182</v>
      </c>
      <c r="D231" s="0" t="s">
        <v>289</v>
      </c>
      <c r="E231" s="0" t="s">
        <v>154</v>
      </c>
      <c r="F231" s="0" t="s">
        <v>475</v>
      </c>
      <c r="G231" s="0" t="s">
        <v>476</v>
      </c>
      <c r="H231" s="0">
        <v>12</v>
      </c>
      <c r="I231" s="0">
        <v>52</v>
      </c>
      <c r="J231" s="0">
        <v>2786</v>
      </c>
    </row>
    <row r="232">
      <c r="A232" s="0" t="s">
        <v>28</v>
      </c>
      <c r="B232" s="0" t="s">
        <v>30</v>
      </c>
      <c r="C232" s="0" t="s">
        <v>182</v>
      </c>
      <c r="D232" s="0" t="s">
        <v>289</v>
      </c>
      <c r="E232" s="0" t="s">
        <v>154</v>
      </c>
      <c r="F232" s="0" t="s">
        <v>477</v>
      </c>
      <c r="G232" s="0" t="s">
        <v>478</v>
      </c>
      <c r="H232" s="0">
        <v>12</v>
      </c>
      <c r="I232" s="0">
        <v>52</v>
      </c>
      <c r="J232" s="0">
        <v>2786</v>
      </c>
    </row>
    <row r="233">
      <c r="A233" s="0" t="s">
        <v>28</v>
      </c>
      <c r="B233" s="0" t="s">
        <v>30</v>
      </c>
      <c r="C233" s="0" t="s">
        <v>182</v>
      </c>
      <c r="D233" s="0" t="s">
        <v>289</v>
      </c>
      <c r="E233" s="0" t="s">
        <v>154</v>
      </c>
      <c r="F233" s="0" t="s">
        <v>479</v>
      </c>
      <c r="G233" s="0" t="s">
        <v>273</v>
      </c>
      <c r="H233" s="0">
        <v>12</v>
      </c>
      <c r="I233" s="0">
        <v>52</v>
      </c>
      <c r="J233" s="0">
        <v>2786</v>
      </c>
    </row>
    <row r="234">
      <c r="A234" s="0" t="s">
        <v>28</v>
      </c>
      <c r="B234" s="0" t="s">
        <v>30</v>
      </c>
      <c r="C234" s="0" t="s">
        <v>182</v>
      </c>
      <c r="D234" s="0" t="s">
        <v>289</v>
      </c>
      <c r="E234" s="0" t="s">
        <v>154</v>
      </c>
      <c r="F234" s="0" t="s">
        <v>480</v>
      </c>
      <c r="G234" s="0" t="s">
        <v>274</v>
      </c>
      <c r="H234" s="0">
        <v>12</v>
      </c>
      <c r="I234" s="0">
        <v>52</v>
      </c>
      <c r="J234" s="0">
        <v>2786</v>
      </c>
    </row>
    <row r="235">
      <c r="A235" s="0" t="s">
        <v>28</v>
      </c>
      <c r="B235" s="0" t="s">
        <v>30</v>
      </c>
      <c r="C235" s="0" t="s">
        <v>182</v>
      </c>
      <c r="D235" s="0" t="s">
        <v>289</v>
      </c>
      <c r="E235" s="0" t="s">
        <v>154</v>
      </c>
      <c r="F235" s="0" t="s">
        <v>481</v>
      </c>
      <c r="G235" s="0" t="s">
        <v>275</v>
      </c>
      <c r="H235" s="0">
        <v>12</v>
      </c>
      <c r="I235" s="0">
        <v>52</v>
      </c>
      <c r="J235" s="0">
        <v>2786</v>
      </c>
    </row>
    <row r="236">
      <c r="A236" s="0" t="s">
        <v>28</v>
      </c>
      <c r="B236" s="0" t="s">
        <v>30</v>
      </c>
      <c r="C236" s="0" t="s">
        <v>182</v>
      </c>
      <c r="D236" s="0" t="s">
        <v>289</v>
      </c>
      <c r="E236" s="0" t="s">
        <v>154</v>
      </c>
      <c r="F236" s="0" t="s">
        <v>482</v>
      </c>
      <c r="G236" s="0" t="s">
        <v>483</v>
      </c>
      <c r="H236" s="0">
        <v>12</v>
      </c>
      <c r="I236" s="0">
        <v>52</v>
      </c>
      <c r="J236" s="0">
        <v>2786</v>
      </c>
    </row>
    <row r="237">
      <c r="A237" s="0" t="s">
        <v>28</v>
      </c>
      <c r="B237" s="0" t="s">
        <v>30</v>
      </c>
      <c r="C237" s="0" t="s">
        <v>182</v>
      </c>
      <c r="D237" s="0" t="s">
        <v>289</v>
      </c>
      <c r="E237" s="0" t="s">
        <v>154</v>
      </c>
      <c r="F237" s="0" t="s">
        <v>484</v>
      </c>
      <c r="G237" s="0" t="s">
        <v>272</v>
      </c>
      <c r="H237" s="0">
        <v>12</v>
      </c>
      <c r="I237" s="0">
        <v>52</v>
      </c>
      <c r="J237" s="0">
        <v>2786</v>
      </c>
    </row>
    <row r="238">
      <c r="A238" s="0" t="s">
        <v>28</v>
      </c>
      <c r="B238" s="0" t="s">
        <v>30</v>
      </c>
      <c r="C238" s="0" t="s">
        <v>182</v>
      </c>
      <c r="D238" s="0" t="s">
        <v>289</v>
      </c>
      <c r="E238" s="0" t="s">
        <v>154</v>
      </c>
      <c r="F238" s="0" t="s">
        <v>485</v>
      </c>
      <c r="G238" s="0" t="s">
        <v>473</v>
      </c>
      <c r="H238" s="0">
        <v>12</v>
      </c>
      <c r="I238" s="0">
        <v>52</v>
      </c>
      <c r="J238" s="0">
        <v>2786</v>
      </c>
    </row>
    <row r="239">
      <c r="A239" s="0" t="s">
        <v>28</v>
      </c>
      <c r="B239" s="0" t="s">
        <v>30</v>
      </c>
      <c r="C239" s="0" t="s">
        <v>182</v>
      </c>
      <c r="D239" s="0" t="s">
        <v>289</v>
      </c>
      <c r="E239" s="0" t="s">
        <v>154</v>
      </c>
      <c r="F239" s="0" t="s">
        <v>486</v>
      </c>
      <c r="G239" s="0" t="s">
        <v>272</v>
      </c>
      <c r="H239" s="0">
        <v>12</v>
      </c>
      <c r="I239" s="0">
        <v>52</v>
      </c>
      <c r="J239" s="0">
        <v>2786</v>
      </c>
    </row>
    <row r="240">
      <c r="A240" s="0" t="s">
        <v>28</v>
      </c>
      <c r="B240" s="0" t="s">
        <v>30</v>
      </c>
      <c r="C240" s="0" t="s">
        <v>182</v>
      </c>
      <c r="D240" s="0" t="s">
        <v>289</v>
      </c>
      <c r="E240" s="0" t="s">
        <v>154</v>
      </c>
      <c r="F240" s="0" t="s">
        <v>487</v>
      </c>
      <c r="G240" s="0" t="s">
        <v>276</v>
      </c>
      <c r="H240" s="0">
        <v>12</v>
      </c>
      <c r="I240" s="0">
        <v>52</v>
      </c>
      <c r="J240" s="0">
        <v>2786</v>
      </c>
    </row>
    <row r="241">
      <c r="A241" s="0" t="s">
        <v>28</v>
      </c>
      <c r="B241" s="0" t="s">
        <v>30</v>
      </c>
      <c r="C241" s="0" t="s">
        <v>182</v>
      </c>
      <c r="D241" s="0" t="s">
        <v>289</v>
      </c>
      <c r="E241" s="0" t="s">
        <v>154</v>
      </c>
      <c r="F241" s="0" t="s">
        <v>488</v>
      </c>
      <c r="G241" s="0" t="s">
        <v>489</v>
      </c>
      <c r="H241" s="0">
        <v>12</v>
      </c>
      <c r="I241" s="0">
        <v>52</v>
      </c>
      <c r="J241" s="0">
        <v>2786</v>
      </c>
    </row>
    <row r="242">
      <c r="A242" s="0" t="s">
        <v>28</v>
      </c>
      <c r="B242" s="0" t="s">
        <v>30</v>
      </c>
      <c r="C242" s="0" t="s">
        <v>182</v>
      </c>
      <c r="D242" s="0" t="s">
        <v>289</v>
      </c>
      <c r="E242" s="0" t="s">
        <v>154</v>
      </c>
      <c r="F242" s="0" t="s">
        <v>490</v>
      </c>
      <c r="G242" s="0" t="s">
        <v>491</v>
      </c>
      <c r="H242" s="0">
        <v>12</v>
      </c>
      <c r="I242" s="0">
        <v>52</v>
      </c>
      <c r="J242" s="0">
        <v>2786</v>
      </c>
    </row>
    <row r="243">
      <c r="A243" s="0" t="s">
        <v>28</v>
      </c>
      <c r="B243" s="0" t="s">
        <v>30</v>
      </c>
      <c r="C243" s="0" t="s">
        <v>182</v>
      </c>
      <c r="D243" s="0" t="s">
        <v>289</v>
      </c>
      <c r="E243" s="0" t="s">
        <v>154</v>
      </c>
      <c r="F243" s="0" t="s">
        <v>492</v>
      </c>
      <c r="G243" s="0" t="s">
        <v>493</v>
      </c>
      <c r="H243" s="0">
        <v>12</v>
      </c>
      <c r="I243" s="0">
        <v>52</v>
      </c>
      <c r="J243" s="0">
        <v>2786</v>
      </c>
    </row>
    <row r="244">
      <c r="A244" s="0" t="s">
        <v>28</v>
      </c>
      <c r="B244" s="0" t="s">
        <v>30</v>
      </c>
      <c r="C244" s="0" t="s">
        <v>182</v>
      </c>
      <c r="D244" s="0" t="s">
        <v>289</v>
      </c>
      <c r="E244" s="0" t="s">
        <v>154</v>
      </c>
      <c r="F244" s="0" t="s">
        <v>494</v>
      </c>
      <c r="G244" s="0" t="s">
        <v>277</v>
      </c>
      <c r="H244" s="0">
        <v>12</v>
      </c>
      <c r="I244" s="0">
        <v>52</v>
      </c>
      <c r="J244" s="0">
        <v>2786</v>
      </c>
    </row>
    <row r="245">
      <c r="A245" s="0" t="s">
        <v>28</v>
      </c>
      <c r="B245" s="0" t="s">
        <v>30</v>
      </c>
      <c r="C245" s="0" t="s">
        <v>182</v>
      </c>
      <c r="D245" s="0" t="s">
        <v>289</v>
      </c>
      <c r="E245" s="0" t="s">
        <v>154</v>
      </c>
      <c r="F245" s="0" t="s">
        <v>495</v>
      </c>
      <c r="G245" s="0" t="s">
        <v>257</v>
      </c>
      <c r="H245" s="0">
        <v>12</v>
      </c>
      <c r="I245" s="0">
        <v>52</v>
      </c>
      <c r="J245" s="0">
        <v>2786</v>
      </c>
    </row>
    <row r="246">
      <c r="A246" s="0" t="s">
        <v>28</v>
      </c>
      <c r="B246" s="0" t="s">
        <v>30</v>
      </c>
      <c r="C246" s="0" t="s">
        <v>182</v>
      </c>
      <c r="D246" s="0" t="s">
        <v>289</v>
      </c>
      <c r="E246" s="0" t="s">
        <v>154</v>
      </c>
      <c r="F246" s="0" t="s">
        <v>496</v>
      </c>
      <c r="G246" s="0" t="s">
        <v>286</v>
      </c>
      <c r="H246" s="0">
        <v>12</v>
      </c>
      <c r="I246" s="0">
        <v>52</v>
      </c>
      <c r="J246" s="0">
        <v>2786</v>
      </c>
    </row>
    <row r="247">
      <c r="A247" s="0" t="s">
        <v>28</v>
      </c>
      <c r="B247" s="0" t="s">
        <v>30</v>
      </c>
      <c r="C247" s="0" t="s">
        <v>182</v>
      </c>
      <c r="D247" s="0" t="s">
        <v>289</v>
      </c>
      <c r="E247" s="0" t="s">
        <v>154</v>
      </c>
      <c r="F247" s="0" t="s">
        <v>497</v>
      </c>
      <c r="G247" s="0" t="s">
        <v>498</v>
      </c>
      <c r="H247" s="0">
        <v>12</v>
      </c>
      <c r="I247" s="0">
        <v>52</v>
      </c>
      <c r="J247" s="0">
        <v>2786</v>
      </c>
    </row>
    <row r="248">
      <c r="A248" s="0" t="s">
        <v>28</v>
      </c>
      <c r="B248" s="0" t="s">
        <v>30</v>
      </c>
      <c r="C248" s="0" t="s">
        <v>182</v>
      </c>
      <c r="D248" s="0" t="s">
        <v>289</v>
      </c>
      <c r="E248" s="0" t="s">
        <v>154</v>
      </c>
      <c r="F248" s="0" t="s">
        <v>499</v>
      </c>
      <c r="G248" s="0" t="s">
        <v>542</v>
      </c>
      <c r="H248" s="0">
        <v>12</v>
      </c>
      <c r="I248" s="0">
        <v>52</v>
      </c>
      <c r="J248" s="0">
        <v>2786</v>
      </c>
    </row>
    <row r="249">
      <c r="A249" s="0" t="s">
        <v>28</v>
      </c>
      <c r="B249" s="0" t="s">
        <v>30</v>
      </c>
      <c r="C249" s="0" t="s">
        <v>182</v>
      </c>
      <c r="D249" s="0" t="s">
        <v>289</v>
      </c>
      <c r="E249" s="0" t="s">
        <v>154</v>
      </c>
      <c r="F249" s="0" t="s">
        <v>501</v>
      </c>
      <c r="G249" s="0" t="s">
        <v>502</v>
      </c>
      <c r="H249" s="0">
        <v>12</v>
      </c>
      <c r="I249" s="0">
        <v>52</v>
      </c>
      <c r="J249" s="0">
        <v>2786</v>
      </c>
    </row>
    <row r="250">
      <c r="A250" s="0" t="s">
        <v>28</v>
      </c>
      <c r="B250" s="0" t="s">
        <v>30</v>
      </c>
      <c r="C250" s="0" t="s">
        <v>182</v>
      </c>
      <c r="D250" s="0" t="s">
        <v>289</v>
      </c>
      <c r="E250" s="0" t="s">
        <v>154</v>
      </c>
      <c r="F250" s="0" t="s">
        <v>503</v>
      </c>
      <c r="G250" s="0" t="s">
        <v>504</v>
      </c>
      <c r="H250" s="0">
        <v>12</v>
      </c>
      <c r="I250" s="0">
        <v>52</v>
      </c>
      <c r="J250" s="0">
        <v>2786</v>
      </c>
    </row>
    <row r="251">
      <c r="A251" s="0" t="s">
        <v>28</v>
      </c>
      <c r="B251" s="0" t="s">
        <v>30</v>
      </c>
      <c r="C251" s="0" t="s">
        <v>182</v>
      </c>
      <c r="D251" s="0" t="s">
        <v>289</v>
      </c>
      <c r="E251" s="0" t="s">
        <v>154</v>
      </c>
      <c r="F251" s="0" t="s">
        <v>505</v>
      </c>
      <c r="G251" s="0" t="s">
        <v>506</v>
      </c>
      <c r="H251" s="0">
        <v>12</v>
      </c>
      <c r="I251" s="0">
        <v>52</v>
      </c>
      <c r="J251" s="0">
        <v>2786</v>
      </c>
    </row>
    <row r="252">
      <c r="A252" s="0" t="s">
        <v>28</v>
      </c>
      <c r="B252" s="0" t="s">
        <v>30</v>
      </c>
      <c r="C252" s="0" t="s">
        <v>182</v>
      </c>
      <c r="D252" s="0" t="s">
        <v>289</v>
      </c>
      <c r="E252" s="0" t="s">
        <v>154</v>
      </c>
      <c r="F252" s="0" t="s">
        <v>507</v>
      </c>
      <c r="G252" s="0" t="s">
        <v>508</v>
      </c>
      <c r="H252" s="0">
        <v>12</v>
      </c>
      <c r="I252" s="0">
        <v>52</v>
      </c>
      <c r="J252" s="0">
        <v>2786</v>
      </c>
    </row>
    <row r="253">
      <c r="A253" s="0" t="s">
        <v>28</v>
      </c>
      <c r="B253" s="0" t="s">
        <v>30</v>
      </c>
      <c r="C253" s="0" t="s">
        <v>182</v>
      </c>
      <c r="D253" s="0" t="s">
        <v>289</v>
      </c>
      <c r="E253" s="0" t="s">
        <v>154</v>
      </c>
      <c r="F253" s="0" t="s">
        <v>509</v>
      </c>
      <c r="G253" s="0" t="s">
        <v>114</v>
      </c>
      <c r="H253" s="0">
        <v>12</v>
      </c>
      <c r="I253" s="0">
        <v>52</v>
      </c>
      <c r="J253" s="0">
        <v>2786</v>
      </c>
    </row>
    <row r="254">
      <c r="A254" s="0" t="s">
        <v>28</v>
      </c>
      <c r="B254" s="0" t="s">
        <v>30</v>
      </c>
      <c r="C254" s="0" t="s">
        <v>182</v>
      </c>
      <c r="D254" s="0" t="s">
        <v>289</v>
      </c>
      <c r="E254" s="0" t="s">
        <v>154</v>
      </c>
      <c r="F254" s="0" t="s">
        <v>510</v>
      </c>
      <c r="G254" s="0" t="s">
        <v>511</v>
      </c>
      <c r="H254" s="0">
        <v>12</v>
      </c>
      <c r="I254" s="0">
        <v>52</v>
      </c>
      <c r="J254" s="0">
        <v>2786</v>
      </c>
    </row>
    <row r="255">
      <c r="A255" s="0" t="s">
        <v>28</v>
      </c>
      <c r="B255" s="0" t="s">
        <v>30</v>
      </c>
      <c r="C255" s="0" t="s">
        <v>182</v>
      </c>
      <c r="D255" s="0" t="s">
        <v>289</v>
      </c>
      <c r="E255" s="0" t="s">
        <v>154</v>
      </c>
      <c r="F255" s="0" t="s">
        <v>512</v>
      </c>
      <c r="G255" s="0" t="s">
        <v>543</v>
      </c>
      <c r="H255" s="0">
        <v>12</v>
      </c>
      <c r="I255" s="0">
        <v>52</v>
      </c>
      <c r="J255" s="0">
        <v>2786</v>
      </c>
    </row>
    <row r="256">
      <c r="A256" s="0" t="s">
        <v>28</v>
      </c>
      <c r="B256" s="0" t="s">
        <v>30</v>
      </c>
      <c r="C256" s="0" t="s">
        <v>182</v>
      </c>
      <c r="D256" s="0" t="s">
        <v>289</v>
      </c>
      <c r="E256" s="0" t="s">
        <v>154</v>
      </c>
      <c r="F256" s="0" t="s">
        <v>514</v>
      </c>
      <c r="G256" s="0" t="s">
        <v>515</v>
      </c>
      <c r="H256" s="0">
        <v>12</v>
      </c>
      <c r="I256" s="0">
        <v>52</v>
      </c>
      <c r="J256" s="0">
        <v>2786</v>
      </c>
    </row>
    <row r="257">
      <c r="A257" s="0" t="s">
        <v>28</v>
      </c>
      <c r="B257" s="0" t="s">
        <v>30</v>
      </c>
      <c r="C257" s="0" t="s">
        <v>182</v>
      </c>
      <c r="D257" s="0" t="s">
        <v>289</v>
      </c>
      <c r="E257" s="0" t="s">
        <v>154</v>
      </c>
      <c r="F257" s="0" t="s">
        <v>516</v>
      </c>
      <c r="G257" s="0" t="s">
        <v>450</v>
      </c>
      <c r="H257" s="0">
        <v>12</v>
      </c>
      <c r="I257" s="0">
        <v>52</v>
      </c>
      <c r="J257" s="0">
        <v>2786</v>
      </c>
    </row>
    <row r="258">
      <c r="A258" s="0" t="s">
        <v>28</v>
      </c>
      <c r="B258" s="0" t="s">
        <v>30</v>
      </c>
      <c r="C258" s="0" t="s">
        <v>182</v>
      </c>
      <c r="D258" s="0" t="s">
        <v>289</v>
      </c>
      <c r="E258" s="0" t="s">
        <v>154</v>
      </c>
      <c r="F258" s="0" t="s">
        <v>517</v>
      </c>
      <c r="G258" s="0" t="s">
        <v>518</v>
      </c>
      <c r="H258" s="0">
        <v>12</v>
      </c>
      <c r="I258" s="0">
        <v>52</v>
      </c>
      <c r="J258" s="0">
        <v>2786</v>
      </c>
    </row>
    <row r="259">
      <c r="A259" s="0" t="s">
        <v>28</v>
      </c>
      <c r="B259" s="0" t="s">
        <v>30</v>
      </c>
      <c r="C259" s="0" t="s">
        <v>182</v>
      </c>
      <c r="D259" s="0" t="s">
        <v>289</v>
      </c>
      <c r="E259" s="0" t="s">
        <v>154</v>
      </c>
      <c r="F259" s="0" t="s">
        <v>519</v>
      </c>
      <c r="G259" s="0" t="s">
        <v>520</v>
      </c>
      <c r="H259" s="0">
        <v>12</v>
      </c>
      <c r="I259" s="0">
        <v>52</v>
      </c>
      <c r="J259" s="0">
        <v>2786</v>
      </c>
    </row>
    <row r="260">
      <c r="A260" s="0" t="s">
        <v>28</v>
      </c>
      <c r="B260" s="0" t="s">
        <v>30</v>
      </c>
      <c r="C260" s="0" t="s">
        <v>182</v>
      </c>
      <c r="D260" s="0" t="s">
        <v>289</v>
      </c>
      <c r="E260" s="0" t="s">
        <v>154</v>
      </c>
      <c r="F260" s="0" t="s">
        <v>521</v>
      </c>
      <c r="G260" s="0" t="s">
        <v>341</v>
      </c>
      <c r="H260" s="0">
        <v>12</v>
      </c>
      <c r="I260" s="0">
        <v>52</v>
      </c>
      <c r="J260" s="0">
        <v>2786</v>
      </c>
    </row>
    <row r="261">
      <c r="A261" s="0" t="s">
        <v>28</v>
      </c>
      <c r="B261" s="0" t="s">
        <v>30</v>
      </c>
      <c r="C261" s="0" t="s">
        <v>182</v>
      </c>
      <c r="D261" s="0" t="s">
        <v>289</v>
      </c>
      <c r="E261" s="0" t="s">
        <v>154</v>
      </c>
      <c r="F261" s="0" t="s">
        <v>522</v>
      </c>
      <c r="G261" s="0" t="s">
        <v>523</v>
      </c>
      <c r="H261" s="0">
        <v>12</v>
      </c>
      <c r="I261" s="0">
        <v>52</v>
      </c>
      <c r="J261" s="0">
        <v>2786</v>
      </c>
    </row>
    <row r="262">
      <c r="A262" s="0" t="s">
        <v>28</v>
      </c>
      <c r="B262" s="0" t="s">
        <v>30</v>
      </c>
      <c r="C262" s="0" t="s">
        <v>182</v>
      </c>
      <c r="D262" s="0" t="s">
        <v>289</v>
      </c>
      <c r="E262" s="0" t="s">
        <v>154</v>
      </c>
      <c r="F262" s="0" t="s">
        <v>524</v>
      </c>
      <c r="G262" s="0" t="s">
        <v>544</v>
      </c>
      <c r="H262" s="0">
        <v>12</v>
      </c>
      <c r="I262" s="0">
        <v>52</v>
      </c>
      <c r="J262" s="0">
        <v>2786</v>
      </c>
    </row>
    <row r="263">
      <c r="A263" s="0" t="s">
        <v>28</v>
      </c>
      <c r="B263" s="0" t="s">
        <v>30</v>
      </c>
      <c r="C263" s="0" t="s">
        <v>182</v>
      </c>
      <c r="D263" s="0" t="s">
        <v>289</v>
      </c>
      <c r="E263" s="0" t="s">
        <v>154</v>
      </c>
      <c r="F263" s="0" t="s">
        <v>526</v>
      </c>
      <c r="G263" s="0" t="s">
        <v>545</v>
      </c>
      <c r="H263" s="0">
        <v>12</v>
      </c>
      <c r="I263" s="0">
        <v>52</v>
      </c>
      <c r="J263" s="0">
        <v>2786</v>
      </c>
    </row>
    <row r="264">
      <c r="A264" s="0" t="s">
        <v>28</v>
      </c>
      <c r="B264" s="0" t="s">
        <v>30</v>
      </c>
      <c r="C264" s="0" t="s">
        <v>182</v>
      </c>
      <c r="D264" s="0" t="s">
        <v>289</v>
      </c>
      <c r="E264" s="0" t="s">
        <v>154</v>
      </c>
      <c r="F264" s="0" t="s">
        <v>528</v>
      </c>
      <c r="G264" s="0" t="s">
        <v>529</v>
      </c>
      <c r="H264" s="0">
        <v>12</v>
      </c>
      <c r="I264" s="0">
        <v>52</v>
      </c>
      <c r="J264" s="0">
        <v>2786</v>
      </c>
    </row>
    <row r="265">
      <c r="A265" s="0" t="s">
        <v>28</v>
      </c>
      <c r="B265" s="0" t="s">
        <v>30</v>
      </c>
      <c r="C265" s="0" t="s">
        <v>182</v>
      </c>
      <c r="D265" s="0" t="s">
        <v>289</v>
      </c>
      <c r="E265" s="0" t="s">
        <v>154</v>
      </c>
      <c r="F265" s="0" t="s">
        <v>530</v>
      </c>
      <c r="G265" s="0" t="s">
        <v>291</v>
      </c>
      <c r="H265" s="0">
        <v>12</v>
      </c>
      <c r="I265" s="0">
        <v>52</v>
      </c>
      <c r="J265" s="0">
        <v>2786</v>
      </c>
    </row>
    <row r="266">
      <c r="A266" s="0" t="s">
        <v>28</v>
      </c>
      <c r="B266" s="0" t="s">
        <v>30</v>
      </c>
      <c r="C266" s="0" t="s">
        <v>182</v>
      </c>
      <c r="D266" s="0" t="s">
        <v>289</v>
      </c>
      <c r="E266" s="0" t="s">
        <v>154</v>
      </c>
      <c r="F266" s="0" t="s">
        <v>531</v>
      </c>
      <c r="G266" s="0" t="s">
        <v>532</v>
      </c>
      <c r="H266" s="0">
        <v>12</v>
      </c>
      <c r="I266" s="0">
        <v>52</v>
      </c>
      <c r="J266" s="0">
        <v>2786</v>
      </c>
    </row>
    <row r="267">
      <c r="A267" s="0" t="s">
        <v>28</v>
      </c>
      <c r="B267" s="0" t="s">
        <v>30</v>
      </c>
      <c r="C267" s="0" t="s">
        <v>182</v>
      </c>
      <c r="D267" s="0" t="s">
        <v>289</v>
      </c>
      <c r="E267" s="0" t="s">
        <v>154</v>
      </c>
      <c r="F267" s="0" t="s">
        <v>336</v>
      </c>
      <c r="G267" s="0" t="s">
        <v>360</v>
      </c>
      <c r="H267" s="0">
        <v>12</v>
      </c>
      <c r="I267" s="0">
        <v>52</v>
      </c>
      <c r="J267" s="0">
        <v>2786</v>
      </c>
    </row>
    <row r="268">
      <c r="A268" s="0" t="s">
        <v>28</v>
      </c>
      <c r="B268" s="0" t="s">
        <v>30</v>
      </c>
      <c r="C268" s="0" t="s">
        <v>182</v>
      </c>
      <c r="D268" s="0" t="s">
        <v>289</v>
      </c>
      <c r="E268" s="0" t="s">
        <v>154</v>
      </c>
      <c r="F268" s="0" t="s">
        <v>338</v>
      </c>
      <c r="G268" s="0" t="s">
        <v>361</v>
      </c>
      <c r="H268" s="0">
        <v>12</v>
      </c>
      <c r="I268" s="0">
        <v>52</v>
      </c>
      <c r="J268" s="0">
        <v>2786</v>
      </c>
    </row>
    <row r="269">
      <c r="A269" s="0" t="s">
        <v>28</v>
      </c>
      <c r="B269" s="0" t="s">
        <v>30</v>
      </c>
      <c r="C269" s="0" t="s">
        <v>182</v>
      </c>
      <c r="D269" s="0" t="s">
        <v>289</v>
      </c>
      <c r="E269" s="0" t="s">
        <v>154</v>
      </c>
      <c r="F269" s="0" t="s">
        <v>340</v>
      </c>
      <c r="G269" s="0" t="s">
        <v>341</v>
      </c>
      <c r="H269" s="0">
        <v>12</v>
      </c>
      <c r="I269" s="0">
        <v>52</v>
      </c>
      <c r="J269" s="0">
        <v>2786</v>
      </c>
    </row>
    <row r="270">
      <c r="A270" s="0" t="s">
        <v>28</v>
      </c>
      <c r="B270" s="0" t="s">
        <v>30</v>
      </c>
      <c r="C270" s="0" t="s">
        <v>182</v>
      </c>
      <c r="D270" s="0" t="s">
        <v>289</v>
      </c>
      <c r="E270" s="0" t="s">
        <v>154</v>
      </c>
      <c r="F270" s="0" t="s">
        <v>342</v>
      </c>
      <c r="G270" s="0" t="s">
        <v>341</v>
      </c>
      <c r="H270" s="0">
        <v>12</v>
      </c>
      <c r="I270" s="0">
        <v>52</v>
      </c>
      <c r="J270" s="0">
        <v>2786</v>
      </c>
    </row>
    <row r="271">
      <c r="A271" s="0" t="s">
        <v>28</v>
      </c>
      <c r="B271" s="0" t="s">
        <v>30</v>
      </c>
      <c r="C271" s="0" t="s">
        <v>182</v>
      </c>
      <c r="D271" s="0" t="s">
        <v>289</v>
      </c>
      <c r="E271" s="0" t="s">
        <v>154</v>
      </c>
      <c r="F271" s="0" t="s">
        <v>343</v>
      </c>
      <c r="G271" s="0" t="s">
        <v>344</v>
      </c>
      <c r="H271" s="0">
        <v>12</v>
      </c>
      <c r="I271" s="0">
        <v>52</v>
      </c>
      <c r="J271" s="0">
        <v>2786</v>
      </c>
    </row>
    <row r="272">
      <c r="A272" s="0" t="s">
        <v>28</v>
      </c>
      <c r="B272" s="0" t="s">
        <v>30</v>
      </c>
      <c r="C272" s="0" t="s">
        <v>182</v>
      </c>
      <c r="D272" s="0" t="s">
        <v>289</v>
      </c>
      <c r="E272" s="0" t="s">
        <v>154</v>
      </c>
      <c r="F272" s="0" t="s">
        <v>345</v>
      </c>
      <c r="G272" s="0" t="s">
        <v>360</v>
      </c>
      <c r="H272" s="0">
        <v>12</v>
      </c>
      <c r="I272" s="0">
        <v>52</v>
      </c>
      <c r="J272" s="0">
        <v>2786</v>
      </c>
    </row>
    <row r="273">
      <c r="A273" s="0" t="s">
        <v>28</v>
      </c>
      <c r="B273" s="0" t="s">
        <v>30</v>
      </c>
      <c r="C273" s="0" t="s">
        <v>184</v>
      </c>
      <c r="D273" s="0" t="s">
        <v>293</v>
      </c>
      <c r="E273" s="0" t="s">
        <v>154</v>
      </c>
      <c r="F273" s="0" t="s">
        <v>327</v>
      </c>
      <c r="G273" s="0" t="s">
        <v>30</v>
      </c>
      <c r="H273" s="0">
        <v>12</v>
      </c>
      <c r="I273" s="0">
        <v>51</v>
      </c>
      <c r="J273" s="0">
        <v>2785</v>
      </c>
    </row>
    <row r="274">
      <c r="A274" s="0" t="s">
        <v>28</v>
      </c>
      <c r="B274" s="0" t="s">
        <v>30</v>
      </c>
      <c r="C274" s="0" t="s">
        <v>184</v>
      </c>
      <c r="D274" s="0" t="s">
        <v>293</v>
      </c>
      <c r="E274" s="0" t="s">
        <v>154</v>
      </c>
      <c r="F274" s="0" t="s">
        <v>328</v>
      </c>
      <c r="G274" s="0" t="s">
        <v>293</v>
      </c>
      <c r="H274" s="0">
        <v>12</v>
      </c>
      <c r="I274" s="0">
        <v>51</v>
      </c>
      <c r="J274" s="0">
        <v>2785</v>
      </c>
    </row>
    <row r="275">
      <c r="A275" s="0" t="s">
        <v>28</v>
      </c>
      <c r="B275" s="0" t="s">
        <v>30</v>
      </c>
      <c r="C275" s="0" t="s">
        <v>184</v>
      </c>
      <c r="D275" s="0" t="s">
        <v>293</v>
      </c>
      <c r="E275" s="0" t="s">
        <v>154</v>
      </c>
      <c r="F275" s="0" t="s">
        <v>329</v>
      </c>
      <c r="G275" s="0" t="s">
        <v>184</v>
      </c>
      <c r="H275" s="0">
        <v>12</v>
      </c>
      <c r="I275" s="0">
        <v>51</v>
      </c>
      <c r="J275" s="0">
        <v>2785</v>
      </c>
    </row>
    <row r="276">
      <c r="A276" s="0" t="s">
        <v>28</v>
      </c>
      <c r="B276" s="0" t="s">
        <v>30</v>
      </c>
      <c r="C276" s="0" t="s">
        <v>184</v>
      </c>
      <c r="D276" s="0" t="s">
        <v>293</v>
      </c>
      <c r="E276" s="0" t="s">
        <v>154</v>
      </c>
      <c r="F276" s="0" t="s">
        <v>444</v>
      </c>
      <c r="G276" s="0" t="s">
        <v>535</v>
      </c>
      <c r="H276" s="0">
        <v>12</v>
      </c>
      <c r="I276" s="0">
        <v>51</v>
      </c>
      <c r="J276" s="0">
        <v>2785</v>
      </c>
    </row>
    <row r="277">
      <c r="A277" s="0" t="s">
        <v>28</v>
      </c>
      <c r="B277" s="0" t="s">
        <v>30</v>
      </c>
      <c r="C277" s="0" t="s">
        <v>184</v>
      </c>
      <c r="D277" s="0" t="s">
        <v>293</v>
      </c>
      <c r="E277" s="0" t="s">
        <v>154</v>
      </c>
      <c r="F277" s="0" t="s">
        <v>446</v>
      </c>
      <c r="G277" s="0" t="s">
        <v>341</v>
      </c>
      <c r="H277" s="0">
        <v>12</v>
      </c>
      <c r="I277" s="0">
        <v>51</v>
      </c>
      <c r="J277" s="0">
        <v>2785</v>
      </c>
    </row>
    <row r="278">
      <c r="A278" s="0" t="s">
        <v>28</v>
      </c>
      <c r="B278" s="0" t="s">
        <v>30</v>
      </c>
      <c r="C278" s="0" t="s">
        <v>184</v>
      </c>
      <c r="D278" s="0" t="s">
        <v>293</v>
      </c>
      <c r="E278" s="0" t="s">
        <v>154</v>
      </c>
      <c r="F278" s="0" t="s">
        <v>447</v>
      </c>
      <c r="G278" s="0" t="s">
        <v>448</v>
      </c>
      <c r="H278" s="0">
        <v>12</v>
      </c>
      <c r="I278" s="0">
        <v>51</v>
      </c>
      <c r="J278" s="0">
        <v>2785</v>
      </c>
    </row>
    <row r="279">
      <c r="A279" s="0" t="s">
        <v>28</v>
      </c>
      <c r="B279" s="0" t="s">
        <v>30</v>
      </c>
      <c r="C279" s="0" t="s">
        <v>184</v>
      </c>
      <c r="D279" s="0" t="s">
        <v>293</v>
      </c>
      <c r="E279" s="0" t="s">
        <v>154</v>
      </c>
      <c r="F279" s="0" t="s">
        <v>449</v>
      </c>
      <c r="G279" s="0" t="s">
        <v>450</v>
      </c>
      <c r="H279" s="0">
        <v>12</v>
      </c>
      <c r="I279" s="0">
        <v>51</v>
      </c>
      <c r="J279" s="0">
        <v>2785</v>
      </c>
    </row>
    <row r="280">
      <c r="A280" s="0" t="s">
        <v>28</v>
      </c>
      <c r="B280" s="0" t="s">
        <v>30</v>
      </c>
      <c r="C280" s="0" t="s">
        <v>184</v>
      </c>
      <c r="D280" s="0" t="s">
        <v>293</v>
      </c>
      <c r="E280" s="0" t="s">
        <v>154</v>
      </c>
      <c r="F280" s="0" t="s">
        <v>451</v>
      </c>
      <c r="G280" s="0" t="s">
        <v>452</v>
      </c>
      <c r="H280" s="0">
        <v>12</v>
      </c>
      <c r="I280" s="0">
        <v>51</v>
      </c>
      <c r="J280" s="0">
        <v>2785</v>
      </c>
    </row>
    <row r="281">
      <c r="A281" s="0" t="s">
        <v>28</v>
      </c>
      <c r="B281" s="0" t="s">
        <v>30</v>
      </c>
      <c r="C281" s="0" t="s">
        <v>184</v>
      </c>
      <c r="D281" s="0" t="s">
        <v>293</v>
      </c>
      <c r="E281" s="0" t="s">
        <v>154</v>
      </c>
      <c r="F281" s="0" t="s">
        <v>453</v>
      </c>
      <c r="G281" s="0" t="s">
        <v>454</v>
      </c>
      <c r="H281" s="0">
        <v>12</v>
      </c>
      <c r="I281" s="0">
        <v>51</v>
      </c>
      <c r="J281" s="0">
        <v>2785</v>
      </c>
    </row>
    <row r="282">
      <c r="A282" s="0" t="s">
        <v>28</v>
      </c>
      <c r="B282" s="0" t="s">
        <v>30</v>
      </c>
      <c r="C282" s="0" t="s">
        <v>184</v>
      </c>
      <c r="D282" s="0" t="s">
        <v>293</v>
      </c>
      <c r="E282" s="0" t="s">
        <v>154</v>
      </c>
      <c r="F282" s="0" t="s">
        <v>455</v>
      </c>
      <c r="G282" s="0" t="s">
        <v>456</v>
      </c>
      <c r="H282" s="0">
        <v>12</v>
      </c>
      <c r="I282" s="0">
        <v>51</v>
      </c>
      <c r="J282" s="0">
        <v>2785</v>
      </c>
    </row>
    <row r="283">
      <c r="A283" s="0" t="s">
        <v>28</v>
      </c>
      <c r="B283" s="0" t="s">
        <v>30</v>
      </c>
      <c r="C283" s="0" t="s">
        <v>184</v>
      </c>
      <c r="D283" s="0" t="s">
        <v>293</v>
      </c>
      <c r="E283" s="0" t="s">
        <v>154</v>
      </c>
      <c r="F283" s="0" t="s">
        <v>457</v>
      </c>
      <c r="G283" s="0" t="s">
        <v>458</v>
      </c>
      <c r="H283" s="0">
        <v>12</v>
      </c>
      <c r="I283" s="0">
        <v>51</v>
      </c>
      <c r="J283" s="0">
        <v>2785</v>
      </c>
    </row>
    <row r="284">
      <c r="A284" s="0" t="s">
        <v>28</v>
      </c>
      <c r="B284" s="0" t="s">
        <v>30</v>
      </c>
      <c r="C284" s="0" t="s">
        <v>184</v>
      </c>
      <c r="D284" s="0" t="s">
        <v>293</v>
      </c>
      <c r="E284" s="0" t="s">
        <v>154</v>
      </c>
      <c r="F284" s="0" t="s">
        <v>459</v>
      </c>
      <c r="G284" s="0" t="s">
        <v>294</v>
      </c>
      <c r="H284" s="0">
        <v>12</v>
      </c>
      <c r="I284" s="0">
        <v>51</v>
      </c>
      <c r="J284" s="0">
        <v>2785</v>
      </c>
    </row>
    <row r="285">
      <c r="A285" s="0" t="s">
        <v>28</v>
      </c>
      <c r="B285" s="0" t="s">
        <v>30</v>
      </c>
      <c r="C285" s="0" t="s">
        <v>184</v>
      </c>
      <c r="D285" s="0" t="s">
        <v>293</v>
      </c>
      <c r="E285" s="0" t="s">
        <v>154</v>
      </c>
      <c r="F285" s="0" t="s">
        <v>460</v>
      </c>
      <c r="G285" s="0" t="s">
        <v>268</v>
      </c>
      <c r="H285" s="0">
        <v>12</v>
      </c>
      <c r="I285" s="0">
        <v>51</v>
      </c>
      <c r="J285" s="0">
        <v>2785</v>
      </c>
    </row>
    <row r="286">
      <c r="A286" s="0" t="s">
        <v>28</v>
      </c>
      <c r="B286" s="0" t="s">
        <v>30</v>
      </c>
      <c r="C286" s="0" t="s">
        <v>184</v>
      </c>
      <c r="D286" s="0" t="s">
        <v>293</v>
      </c>
      <c r="E286" s="0" t="s">
        <v>154</v>
      </c>
      <c r="F286" s="0" t="s">
        <v>403</v>
      </c>
      <c r="G286" s="0" t="s">
        <v>461</v>
      </c>
      <c r="H286" s="0">
        <v>12</v>
      </c>
      <c r="I286" s="0">
        <v>51</v>
      </c>
      <c r="J286" s="0">
        <v>2785</v>
      </c>
    </row>
    <row r="287">
      <c r="A287" s="0" t="s">
        <v>28</v>
      </c>
      <c r="B287" s="0" t="s">
        <v>30</v>
      </c>
      <c r="C287" s="0" t="s">
        <v>184</v>
      </c>
      <c r="D287" s="0" t="s">
        <v>293</v>
      </c>
      <c r="E287" s="0" t="s">
        <v>154</v>
      </c>
      <c r="F287" s="0" t="s">
        <v>462</v>
      </c>
      <c r="G287" s="0" t="s">
        <v>463</v>
      </c>
      <c r="H287" s="0">
        <v>12</v>
      </c>
      <c r="I287" s="0">
        <v>51</v>
      </c>
      <c r="J287" s="0">
        <v>2785</v>
      </c>
    </row>
    <row r="288">
      <c r="A288" s="0" t="s">
        <v>28</v>
      </c>
      <c r="B288" s="0" t="s">
        <v>30</v>
      </c>
      <c r="C288" s="0" t="s">
        <v>184</v>
      </c>
      <c r="D288" s="0" t="s">
        <v>293</v>
      </c>
      <c r="E288" s="0" t="s">
        <v>154</v>
      </c>
      <c r="F288" s="0" t="s">
        <v>464</v>
      </c>
      <c r="G288" s="0" t="s">
        <v>269</v>
      </c>
      <c r="H288" s="0">
        <v>12</v>
      </c>
      <c r="I288" s="0">
        <v>51</v>
      </c>
      <c r="J288" s="0">
        <v>2785</v>
      </c>
    </row>
    <row r="289">
      <c r="A289" s="0" t="s">
        <v>28</v>
      </c>
      <c r="B289" s="0" t="s">
        <v>30</v>
      </c>
      <c r="C289" s="0" t="s">
        <v>184</v>
      </c>
      <c r="D289" s="0" t="s">
        <v>293</v>
      </c>
      <c r="E289" s="0" t="s">
        <v>154</v>
      </c>
      <c r="F289" s="0" t="s">
        <v>427</v>
      </c>
      <c r="G289" s="0" t="s">
        <v>465</v>
      </c>
      <c r="H289" s="0">
        <v>12</v>
      </c>
      <c r="I289" s="0">
        <v>51</v>
      </c>
      <c r="J289" s="0">
        <v>2785</v>
      </c>
    </row>
    <row r="290">
      <c r="A290" s="0" t="s">
        <v>28</v>
      </c>
      <c r="B290" s="0" t="s">
        <v>30</v>
      </c>
      <c r="C290" s="0" t="s">
        <v>184</v>
      </c>
      <c r="D290" s="0" t="s">
        <v>293</v>
      </c>
      <c r="E290" s="0" t="s">
        <v>154</v>
      </c>
      <c r="F290" s="0" t="s">
        <v>429</v>
      </c>
      <c r="G290" s="0" t="s">
        <v>546</v>
      </c>
      <c r="H290" s="0">
        <v>12</v>
      </c>
      <c r="I290" s="0">
        <v>51</v>
      </c>
      <c r="J290" s="0">
        <v>2785</v>
      </c>
    </row>
    <row r="291">
      <c r="A291" s="0" t="s">
        <v>28</v>
      </c>
      <c r="B291" s="0" t="s">
        <v>30</v>
      </c>
      <c r="C291" s="0" t="s">
        <v>184</v>
      </c>
      <c r="D291" s="0" t="s">
        <v>293</v>
      </c>
      <c r="E291" s="0" t="s">
        <v>154</v>
      </c>
      <c r="F291" s="0" t="s">
        <v>467</v>
      </c>
      <c r="G291" s="0" t="s">
        <v>270</v>
      </c>
      <c r="H291" s="0">
        <v>12</v>
      </c>
      <c r="I291" s="0">
        <v>51</v>
      </c>
      <c r="J291" s="0">
        <v>2785</v>
      </c>
    </row>
    <row r="292">
      <c r="A292" s="0" t="s">
        <v>28</v>
      </c>
      <c r="B292" s="0" t="s">
        <v>30</v>
      </c>
      <c r="C292" s="0" t="s">
        <v>184</v>
      </c>
      <c r="D292" s="0" t="s">
        <v>293</v>
      </c>
      <c r="E292" s="0" t="s">
        <v>154</v>
      </c>
      <c r="F292" s="0" t="s">
        <v>468</v>
      </c>
      <c r="G292" s="0" t="s">
        <v>271</v>
      </c>
      <c r="H292" s="0">
        <v>12</v>
      </c>
      <c r="I292" s="0">
        <v>51</v>
      </c>
      <c r="J292" s="0">
        <v>2785</v>
      </c>
    </row>
    <row r="293">
      <c r="A293" s="0" t="s">
        <v>28</v>
      </c>
      <c r="B293" s="0" t="s">
        <v>30</v>
      </c>
      <c r="C293" s="0" t="s">
        <v>184</v>
      </c>
      <c r="D293" s="0" t="s">
        <v>293</v>
      </c>
      <c r="E293" s="0" t="s">
        <v>154</v>
      </c>
      <c r="F293" s="0" t="s">
        <v>469</v>
      </c>
      <c r="G293" s="0" t="s">
        <v>470</v>
      </c>
      <c r="H293" s="0">
        <v>12</v>
      </c>
      <c r="I293" s="0">
        <v>51</v>
      </c>
      <c r="J293" s="0">
        <v>2785</v>
      </c>
    </row>
    <row r="294">
      <c r="A294" s="0" t="s">
        <v>28</v>
      </c>
      <c r="B294" s="0" t="s">
        <v>30</v>
      </c>
      <c r="C294" s="0" t="s">
        <v>184</v>
      </c>
      <c r="D294" s="0" t="s">
        <v>293</v>
      </c>
      <c r="E294" s="0" t="s">
        <v>154</v>
      </c>
      <c r="F294" s="0" t="s">
        <v>471</v>
      </c>
      <c r="G294" s="0" t="s">
        <v>272</v>
      </c>
      <c r="H294" s="0">
        <v>12</v>
      </c>
      <c r="I294" s="0">
        <v>51</v>
      </c>
      <c r="J294" s="0">
        <v>2785</v>
      </c>
    </row>
    <row r="295">
      <c r="A295" s="0" t="s">
        <v>28</v>
      </c>
      <c r="B295" s="0" t="s">
        <v>30</v>
      </c>
      <c r="C295" s="0" t="s">
        <v>184</v>
      </c>
      <c r="D295" s="0" t="s">
        <v>293</v>
      </c>
      <c r="E295" s="0" t="s">
        <v>154</v>
      </c>
      <c r="F295" s="0" t="s">
        <v>472</v>
      </c>
      <c r="G295" s="0" t="s">
        <v>473</v>
      </c>
      <c r="H295" s="0">
        <v>12</v>
      </c>
      <c r="I295" s="0">
        <v>51</v>
      </c>
      <c r="J295" s="0">
        <v>2785</v>
      </c>
    </row>
    <row r="296">
      <c r="A296" s="0" t="s">
        <v>28</v>
      </c>
      <c r="B296" s="0" t="s">
        <v>30</v>
      </c>
      <c r="C296" s="0" t="s">
        <v>184</v>
      </c>
      <c r="D296" s="0" t="s">
        <v>293</v>
      </c>
      <c r="E296" s="0" t="s">
        <v>154</v>
      </c>
      <c r="F296" s="0" t="s">
        <v>331</v>
      </c>
      <c r="G296" s="0" t="s">
        <v>332</v>
      </c>
      <c r="H296" s="0">
        <v>12</v>
      </c>
      <c r="I296" s="0">
        <v>51</v>
      </c>
      <c r="J296" s="0">
        <v>2785</v>
      </c>
    </row>
    <row r="297">
      <c r="A297" s="0" t="s">
        <v>28</v>
      </c>
      <c r="B297" s="0" t="s">
        <v>30</v>
      </c>
      <c r="C297" s="0" t="s">
        <v>184</v>
      </c>
      <c r="D297" s="0" t="s">
        <v>293</v>
      </c>
      <c r="E297" s="0" t="s">
        <v>154</v>
      </c>
      <c r="F297" s="0" t="s">
        <v>474</v>
      </c>
      <c r="G297" s="0" t="s">
        <v>272</v>
      </c>
      <c r="H297" s="0">
        <v>12</v>
      </c>
      <c r="I297" s="0">
        <v>51</v>
      </c>
      <c r="J297" s="0">
        <v>2785</v>
      </c>
    </row>
    <row r="298">
      <c r="A298" s="0" t="s">
        <v>28</v>
      </c>
      <c r="B298" s="0" t="s">
        <v>30</v>
      </c>
      <c r="C298" s="0" t="s">
        <v>184</v>
      </c>
      <c r="D298" s="0" t="s">
        <v>293</v>
      </c>
      <c r="E298" s="0" t="s">
        <v>154</v>
      </c>
      <c r="F298" s="0" t="s">
        <v>475</v>
      </c>
      <c r="G298" s="0" t="s">
        <v>476</v>
      </c>
      <c r="H298" s="0">
        <v>12</v>
      </c>
      <c r="I298" s="0">
        <v>51</v>
      </c>
      <c r="J298" s="0">
        <v>2785</v>
      </c>
    </row>
    <row r="299">
      <c r="A299" s="0" t="s">
        <v>28</v>
      </c>
      <c r="B299" s="0" t="s">
        <v>30</v>
      </c>
      <c r="C299" s="0" t="s">
        <v>184</v>
      </c>
      <c r="D299" s="0" t="s">
        <v>293</v>
      </c>
      <c r="E299" s="0" t="s">
        <v>154</v>
      </c>
      <c r="F299" s="0" t="s">
        <v>477</v>
      </c>
      <c r="G299" s="0" t="s">
        <v>478</v>
      </c>
      <c r="H299" s="0">
        <v>12</v>
      </c>
      <c r="I299" s="0">
        <v>51</v>
      </c>
      <c r="J299" s="0">
        <v>2785</v>
      </c>
    </row>
    <row r="300">
      <c r="A300" s="0" t="s">
        <v>28</v>
      </c>
      <c r="B300" s="0" t="s">
        <v>30</v>
      </c>
      <c r="C300" s="0" t="s">
        <v>184</v>
      </c>
      <c r="D300" s="0" t="s">
        <v>293</v>
      </c>
      <c r="E300" s="0" t="s">
        <v>154</v>
      </c>
      <c r="F300" s="0" t="s">
        <v>479</v>
      </c>
      <c r="G300" s="0" t="s">
        <v>273</v>
      </c>
      <c r="H300" s="0">
        <v>12</v>
      </c>
      <c r="I300" s="0">
        <v>51</v>
      </c>
      <c r="J300" s="0">
        <v>2785</v>
      </c>
    </row>
    <row r="301">
      <c r="A301" s="0" t="s">
        <v>28</v>
      </c>
      <c r="B301" s="0" t="s">
        <v>30</v>
      </c>
      <c r="C301" s="0" t="s">
        <v>184</v>
      </c>
      <c r="D301" s="0" t="s">
        <v>293</v>
      </c>
      <c r="E301" s="0" t="s">
        <v>154</v>
      </c>
      <c r="F301" s="0" t="s">
        <v>480</v>
      </c>
      <c r="G301" s="0" t="s">
        <v>274</v>
      </c>
      <c r="H301" s="0">
        <v>12</v>
      </c>
      <c r="I301" s="0">
        <v>51</v>
      </c>
      <c r="J301" s="0">
        <v>2785</v>
      </c>
    </row>
    <row r="302">
      <c r="A302" s="0" t="s">
        <v>28</v>
      </c>
      <c r="B302" s="0" t="s">
        <v>30</v>
      </c>
      <c r="C302" s="0" t="s">
        <v>184</v>
      </c>
      <c r="D302" s="0" t="s">
        <v>293</v>
      </c>
      <c r="E302" s="0" t="s">
        <v>154</v>
      </c>
      <c r="F302" s="0" t="s">
        <v>481</v>
      </c>
      <c r="G302" s="0" t="s">
        <v>275</v>
      </c>
      <c r="H302" s="0">
        <v>12</v>
      </c>
      <c r="I302" s="0">
        <v>51</v>
      </c>
      <c r="J302" s="0">
        <v>2785</v>
      </c>
    </row>
    <row r="303">
      <c r="A303" s="0" t="s">
        <v>28</v>
      </c>
      <c r="B303" s="0" t="s">
        <v>30</v>
      </c>
      <c r="C303" s="0" t="s">
        <v>184</v>
      </c>
      <c r="D303" s="0" t="s">
        <v>293</v>
      </c>
      <c r="E303" s="0" t="s">
        <v>154</v>
      </c>
      <c r="F303" s="0" t="s">
        <v>482</v>
      </c>
      <c r="G303" s="0" t="s">
        <v>483</v>
      </c>
      <c r="H303" s="0">
        <v>12</v>
      </c>
      <c r="I303" s="0">
        <v>51</v>
      </c>
      <c r="J303" s="0">
        <v>2785</v>
      </c>
    </row>
    <row r="304">
      <c r="A304" s="0" t="s">
        <v>28</v>
      </c>
      <c r="B304" s="0" t="s">
        <v>30</v>
      </c>
      <c r="C304" s="0" t="s">
        <v>184</v>
      </c>
      <c r="D304" s="0" t="s">
        <v>293</v>
      </c>
      <c r="E304" s="0" t="s">
        <v>154</v>
      </c>
      <c r="F304" s="0" t="s">
        <v>484</v>
      </c>
      <c r="G304" s="0" t="s">
        <v>272</v>
      </c>
      <c r="H304" s="0">
        <v>12</v>
      </c>
      <c r="I304" s="0">
        <v>51</v>
      </c>
      <c r="J304" s="0">
        <v>2785</v>
      </c>
    </row>
    <row r="305">
      <c r="A305" s="0" t="s">
        <v>28</v>
      </c>
      <c r="B305" s="0" t="s">
        <v>30</v>
      </c>
      <c r="C305" s="0" t="s">
        <v>184</v>
      </c>
      <c r="D305" s="0" t="s">
        <v>293</v>
      </c>
      <c r="E305" s="0" t="s">
        <v>154</v>
      </c>
      <c r="F305" s="0" t="s">
        <v>485</v>
      </c>
      <c r="G305" s="0" t="s">
        <v>473</v>
      </c>
      <c r="H305" s="0">
        <v>12</v>
      </c>
      <c r="I305" s="0">
        <v>51</v>
      </c>
      <c r="J305" s="0">
        <v>2785</v>
      </c>
    </row>
    <row r="306">
      <c r="A306" s="0" t="s">
        <v>28</v>
      </c>
      <c r="B306" s="0" t="s">
        <v>30</v>
      </c>
      <c r="C306" s="0" t="s">
        <v>184</v>
      </c>
      <c r="D306" s="0" t="s">
        <v>293</v>
      </c>
      <c r="E306" s="0" t="s">
        <v>154</v>
      </c>
      <c r="F306" s="0" t="s">
        <v>486</v>
      </c>
      <c r="G306" s="0" t="s">
        <v>272</v>
      </c>
      <c r="H306" s="0">
        <v>12</v>
      </c>
      <c r="I306" s="0">
        <v>51</v>
      </c>
      <c r="J306" s="0">
        <v>2785</v>
      </c>
    </row>
    <row r="307">
      <c r="A307" s="0" t="s">
        <v>28</v>
      </c>
      <c r="B307" s="0" t="s">
        <v>30</v>
      </c>
      <c r="C307" s="0" t="s">
        <v>184</v>
      </c>
      <c r="D307" s="0" t="s">
        <v>293</v>
      </c>
      <c r="E307" s="0" t="s">
        <v>154</v>
      </c>
      <c r="F307" s="0" t="s">
        <v>487</v>
      </c>
      <c r="G307" s="0" t="s">
        <v>276</v>
      </c>
      <c r="H307" s="0">
        <v>12</v>
      </c>
      <c r="I307" s="0">
        <v>51</v>
      </c>
      <c r="J307" s="0">
        <v>2785</v>
      </c>
    </row>
    <row r="308">
      <c r="A308" s="0" t="s">
        <v>28</v>
      </c>
      <c r="B308" s="0" t="s">
        <v>30</v>
      </c>
      <c r="C308" s="0" t="s">
        <v>184</v>
      </c>
      <c r="D308" s="0" t="s">
        <v>293</v>
      </c>
      <c r="E308" s="0" t="s">
        <v>154</v>
      </c>
      <c r="F308" s="0" t="s">
        <v>488</v>
      </c>
      <c r="G308" s="0" t="s">
        <v>489</v>
      </c>
      <c r="H308" s="0">
        <v>12</v>
      </c>
      <c r="I308" s="0">
        <v>51</v>
      </c>
      <c r="J308" s="0">
        <v>2785</v>
      </c>
    </row>
    <row r="309">
      <c r="A309" s="0" t="s">
        <v>28</v>
      </c>
      <c r="B309" s="0" t="s">
        <v>30</v>
      </c>
      <c r="C309" s="0" t="s">
        <v>184</v>
      </c>
      <c r="D309" s="0" t="s">
        <v>293</v>
      </c>
      <c r="E309" s="0" t="s">
        <v>154</v>
      </c>
      <c r="F309" s="0" t="s">
        <v>490</v>
      </c>
      <c r="G309" s="0" t="s">
        <v>491</v>
      </c>
      <c r="H309" s="0">
        <v>12</v>
      </c>
      <c r="I309" s="0">
        <v>51</v>
      </c>
      <c r="J309" s="0">
        <v>2785</v>
      </c>
    </row>
    <row r="310">
      <c r="A310" s="0" t="s">
        <v>28</v>
      </c>
      <c r="B310" s="0" t="s">
        <v>30</v>
      </c>
      <c r="C310" s="0" t="s">
        <v>184</v>
      </c>
      <c r="D310" s="0" t="s">
        <v>293</v>
      </c>
      <c r="E310" s="0" t="s">
        <v>154</v>
      </c>
      <c r="F310" s="0" t="s">
        <v>492</v>
      </c>
      <c r="G310" s="0" t="s">
        <v>493</v>
      </c>
      <c r="H310" s="0">
        <v>12</v>
      </c>
      <c r="I310" s="0">
        <v>51</v>
      </c>
      <c r="J310" s="0">
        <v>2785</v>
      </c>
    </row>
    <row r="311">
      <c r="A311" s="0" t="s">
        <v>28</v>
      </c>
      <c r="B311" s="0" t="s">
        <v>30</v>
      </c>
      <c r="C311" s="0" t="s">
        <v>184</v>
      </c>
      <c r="D311" s="0" t="s">
        <v>293</v>
      </c>
      <c r="E311" s="0" t="s">
        <v>154</v>
      </c>
      <c r="F311" s="0" t="s">
        <v>494</v>
      </c>
      <c r="G311" s="0" t="s">
        <v>277</v>
      </c>
      <c r="H311" s="0">
        <v>12</v>
      </c>
      <c r="I311" s="0">
        <v>51</v>
      </c>
      <c r="J311" s="0">
        <v>2785</v>
      </c>
    </row>
    <row r="312">
      <c r="A312" s="0" t="s">
        <v>28</v>
      </c>
      <c r="B312" s="0" t="s">
        <v>30</v>
      </c>
      <c r="C312" s="0" t="s">
        <v>184</v>
      </c>
      <c r="D312" s="0" t="s">
        <v>293</v>
      </c>
      <c r="E312" s="0" t="s">
        <v>154</v>
      </c>
      <c r="F312" s="0" t="s">
        <v>495</v>
      </c>
      <c r="G312" s="0" t="s">
        <v>257</v>
      </c>
      <c r="H312" s="0">
        <v>12</v>
      </c>
      <c r="I312" s="0">
        <v>51</v>
      </c>
      <c r="J312" s="0">
        <v>2785</v>
      </c>
    </row>
    <row r="313">
      <c r="A313" s="0" t="s">
        <v>28</v>
      </c>
      <c r="B313" s="0" t="s">
        <v>30</v>
      </c>
      <c r="C313" s="0" t="s">
        <v>184</v>
      </c>
      <c r="D313" s="0" t="s">
        <v>293</v>
      </c>
      <c r="E313" s="0" t="s">
        <v>154</v>
      </c>
      <c r="F313" s="0" t="s">
        <v>496</v>
      </c>
      <c r="G313" s="0" t="s">
        <v>286</v>
      </c>
      <c r="H313" s="0">
        <v>12</v>
      </c>
      <c r="I313" s="0">
        <v>51</v>
      </c>
      <c r="J313" s="0">
        <v>2785</v>
      </c>
    </row>
    <row r="314">
      <c r="A314" s="0" t="s">
        <v>28</v>
      </c>
      <c r="B314" s="0" t="s">
        <v>30</v>
      </c>
      <c r="C314" s="0" t="s">
        <v>184</v>
      </c>
      <c r="D314" s="0" t="s">
        <v>293</v>
      </c>
      <c r="E314" s="0" t="s">
        <v>154</v>
      </c>
      <c r="F314" s="0" t="s">
        <v>497</v>
      </c>
      <c r="G314" s="0" t="s">
        <v>498</v>
      </c>
      <c r="H314" s="0">
        <v>12</v>
      </c>
      <c r="I314" s="0">
        <v>51</v>
      </c>
      <c r="J314" s="0">
        <v>2785</v>
      </c>
    </row>
    <row r="315">
      <c r="A315" s="0" t="s">
        <v>28</v>
      </c>
      <c r="B315" s="0" t="s">
        <v>30</v>
      </c>
      <c r="C315" s="0" t="s">
        <v>184</v>
      </c>
      <c r="D315" s="0" t="s">
        <v>293</v>
      </c>
      <c r="E315" s="0" t="s">
        <v>154</v>
      </c>
      <c r="F315" s="0" t="s">
        <v>499</v>
      </c>
      <c r="G315" s="0" t="s">
        <v>547</v>
      </c>
      <c r="H315" s="0">
        <v>12</v>
      </c>
      <c r="I315" s="0">
        <v>51</v>
      </c>
      <c r="J315" s="0">
        <v>2785</v>
      </c>
    </row>
    <row r="316">
      <c r="A316" s="0" t="s">
        <v>28</v>
      </c>
      <c r="B316" s="0" t="s">
        <v>30</v>
      </c>
      <c r="C316" s="0" t="s">
        <v>184</v>
      </c>
      <c r="D316" s="0" t="s">
        <v>293</v>
      </c>
      <c r="E316" s="0" t="s">
        <v>154</v>
      </c>
      <c r="F316" s="0" t="s">
        <v>501</v>
      </c>
      <c r="G316" s="0" t="s">
        <v>502</v>
      </c>
      <c r="H316" s="0">
        <v>12</v>
      </c>
      <c r="I316" s="0">
        <v>51</v>
      </c>
      <c r="J316" s="0">
        <v>2785</v>
      </c>
    </row>
    <row r="317">
      <c r="A317" s="0" t="s">
        <v>28</v>
      </c>
      <c r="B317" s="0" t="s">
        <v>30</v>
      </c>
      <c r="C317" s="0" t="s">
        <v>184</v>
      </c>
      <c r="D317" s="0" t="s">
        <v>293</v>
      </c>
      <c r="E317" s="0" t="s">
        <v>154</v>
      </c>
      <c r="F317" s="0" t="s">
        <v>503</v>
      </c>
      <c r="G317" s="0" t="s">
        <v>504</v>
      </c>
      <c r="H317" s="0">
        <v>12</v>
      </c>
      <c r="I317" s="0">
        <v>51</v>
      </c>
      <c r="J317" s="0">
        <v>2785</v>
      </c>
    </row>
    <row r="318">
      <c r="A318" s="0" t="s">
        <v>28</v>
      </c>
      <c r="B318" s="0" t="s">
        <v>30</v>
      </c>
      <c r="C318" s="0" t="s">
        <v>184</v>
      </c>
      <c r="D318" s="0" t="s">
        <v>293</v>
      </c>
      <c r="E318" s="0" t="s">
        <v>154</v>
      </c>
      <c r="F318" s="0" t="s">
        <v>505</v>
      </c>
      <c r="G318" s="0" t="s">
        <v>506</v>
      </c>
      <c r="H318" s="0">
        <v>12</v>
      </c>
      <c r="I318" s="0">
        <v>51</v>
      </c>
      <c r="J318" s="0">
        <v>2785</v>
      </c>
    </row>
    <row r="319">
      <c r="A319" s="0" t="s">
        <v>28</v>
      </c>
      <c r="B319" s="0" t="s">
        <v>30</v>
      </c>
      <c r="C319" s="0" t="s">
        <v>184</v>
      </c>
      <c r="D319" s="0" t="s">
        <v>293</v>
      </c>
      <c r="E319" s="0" t="s">
        <v>154</v>
      </c>
      <c r="F319" s="0" t="s">
        <v>507</v>
      </c>
      <c r="G319" s="0" t="s">
        <v>508</v>
      </c>
      <c r="H319" s="0">
        <v>12</v>
      </c>
      <c r="I319" s="0">
        <v>51</v>
      </c>
      <c r="J319" s="0">
        <v>2785</v>
      </c>
    </row>
    <row r="320">
      <c r="A320" s="0" t="s">
        <v>28</v>
      </c>
      <c r="B320" s="0" t="s">
        <v>30</v>
      </c>
      <c r="C320" s="0" t="s">
        <v>184</v>
      </c>
      <c r="D320" s="0" t="s">
        <v>293</v>
      </c>
      <c r="E320" s="0" t="s">
        <v>154</v>
      </c>
      <c r="F320" s="0" t="s">
        <v>509</v>
      </c>
      <c r="G320" s="0" t="s">
        <v>114</v>
      </c>
      <c r="H320" s="0">
        <v>12</v>
      </c>
      <c r="I320" s="0">
        <v>51</v>
      </c>
      <c r="J320" s="0">
        <v>2785</v>
      </c>
    </row>
    <row r="321">
      <c r="A321" s="0" t="s">
        <v>28</v>
      </c>
      <c r="B321" s="0" t="s">
        <v>30</v>
      </c>
      <c r="C321" s="0" t="s">
        <v>184</v>
      </c>
      <c r="D321" s="0" t="s">
        <v>293</v>
      </c>
      <c r="E321" s="0" t="s">
        <v>154</v>
      </c>
      <c r="F321" s="0" t="s">
        <v>510</v>
      </c>
      <c r="G321" s="0" t="s">
        <v>511</v>
      </c>
      <c r="H321" s="0">
        <v>12</v>
      </c>
      <c r="I321" s="0">
        <v>51</v>
      </c>
      <c r="J321" s="0">
        <v>2785</v>
      </c>
    </row>
    <row r="322">
      <c r="A322" s="0" t="s">
        <v>28</v>
      </c>
      <c r="B322" s="0" t="s">
        <v>30</v>
      </c>
      <c r="C322" s="0" t="s">
        <v>184</v>
      </c>
      <c r="D322" s="0" t="s">
        <v>293</v>
      </c>
      <c r="E322" s="0" t="s">
        <v>154</v>
      </c>
      <c r="F322" s="0" t="s">
        <v>512</v>
      </c>
      <c r="G322" s="0" t="s">
        <v>548</v>
      </c>
      <c r="H322" s="0">
        <v>12</v>
      </c>
      <c r="I322" s="0">
        <v>51</v>
      </c>
      <c r="J322" s="0">
        <v>2785</v>
      </c>
    </row>
    <row r="323">
      <c r="A323" s="0" t="s">
        <v>28</v>
      </c>
      <c r="B323" s="0" t="s">
        <v>30</v>
      </c>
      <c r="C323" s="0" t="s">
        <v>184</v>
      </c>
      <c r="D323" s="0" t="s">
        <v>293</v>
      </c>
      <c r="E323" s="0" t="s">
        <v>154</v>
      </c>
      <c r="F323" s="0" t="s">
        <v>514</v>
      </c>
      <c r="G323" s="0" t="s">
        <v>515</v>
      </c>
      <c r="H323" s="0">
        <v>12</v>
      </c>
      <c r="I323" s="0">
        <v>51</v>
      </c>
      <c r="J323" s="0">
        <v>2785</v>
      </c>
    </row>
    <row r="324">
      <c r="A324" s="0" t="s">
        <v>28</v>
      </c>
      <c r="B324" s="0" t="s">
        <v>30</v>
      </c>
      <c r="C324" s="0" t="s">
        <v>184</v>
      </c>
      <c r="D324" s="0" t="s">
        <v>293</v>
      </c>
      <c r="E324" s="0" t="s">
        <v>154</v>
      </c>
      <c r="F324" s="0" t="s">
        <v>516</v>
      </c>
      <c r="G324" s="0" t="s">
        <v>450</v>
      </c>
      <c r="H324" s="0">
        <v>12</v>
      </c>
      <c r="I324" s="0">
        <v>51</v>
      </c>
      <c r="J324" s="0">
        <v>2785</v>
      </c>
    </row>
    <row r="325">
      <c r="A325" s="0" t="s">
        <v>28</v>
      </c>
      <c r="B325" s="0" t="s">
        <v>30</v>
      </c>
      <c r="C325" s="0" t="s">
        <v>184</v>
      </c>
      <c r="D325" s="0" t="s">
        <v>293</v>
      </c>
      <c r="E325" s="0" t="s">
        <v>154</v>
      </c>
      <c r="F325" s="0" t="s">
        <v>517</v>
      </c>
      <c r="G325" s="0" t="s">
        <v>518</v>
      </c>
      <c r="H325" s="0">
        <v>12</v>
      </c>
      <c r="I325" s="0">
        <v>51</v>
      </c>
      <c r="J325" s="0">
        <v>2785</v>
      </c>
    </row>
    <row r="326">
      <c r="A326" s="0" t="s">
        <v>28</v>
      </c>
      <c r="B326" s="0" t="s">
        <v>30</v>
      </c>
      <c r="C326" s="0" t="s">
        <v>184</v>
      </c>
      <c r="D326" s="0" t="s">
        <v>293</v>
      </c>
      <c r="E326" s="0" t="s">
        <v>154</v>
      </c>
      <c r="F326" s="0" t="s">
        <v>519</v>
      </c>
      <c r="G326" s="0" t="s">
        <v>520</v>
      </c>
      <c r="H326" s="0">
        <v>12</v>
      </c>
      <c r="I326" s="0">
        <v>51</v>
      </c>
      <c r="J326" s="0">
        <v>2785</v>
      </c>
    </row>
    <row r="327">
      <c r="A327" s="0" t="s">
        <v>28</v>
      </c>
      <c r="B327" s="0" t="s">
        <v>30</v>
      </c>
      <c r="C327" s="0" t="s">
        <v>184</v>
      </c>
      <c r="D327" s="0" t="s">
        <v>293</v>
      </c>
      <c r="E327" s="0" t="s">
        <v>154</v>
      </c>
      <c r="F327" s="0" t="s">
        <v>521</v>
      </c>
      <c r="G327" s="0" t="s">
        <v>341</v>
      </c>
      <c r="H327" s="0">
        <v>12</v>
      </c>
      <c r="I327" s="0">
        <v>51</v>
      </c>
      <c r="J327" s="0">
        <v>2785</v>
      </c>
    </row>
    <row r="328">
      <c r="A328" s="0" t="s">
        <v>28</v>
      </c>
      <c r="B328" s="0" t="s">
        <v>30</v>
      </c>
      <c r="C328" s="0" t="s">
        <v>184</v>
      </c>
      <c r="D328" s="0" t="s">
        <v>293</v>
      </c>
      <c r="E328" s="0" t="s">
        <v>154</v>
      </c>
      <c r="F328" s="0" t="s">
        <v>522</v>
      </c>
      <c r="G328" s="0" t="s">
        <v>523</v>
      </c>
      <c r="H328" s="0">
        <v>12</v>
      </c>
      <c r="I328" s="0">
        <v>51</v>
      </c>
      <c r="J328" s="0">
        <v>2785</v>
      </c>
    </row>
    <row r="329">
      <c r="A329" s="0" t="s">
        <v>28</v>
      </c>
      <c r="B329" s="0" t="s">
        <v>30</v>
      </c>
      <c r="C329" s="0" t="s">
        <v>184</v>
      </c>
      <c r="D329" s="0" t="s">
        <v>293</v>
      </c>
      <c r="E329" s="0" t="s">
        <v>154</v>
      </c>
      <c r="F329" s="0" t="s">
        <v>524</v>
      </c>
      <c r="G329" s="0" t="s">
        <v>549</v>
      </c>
      <c r="H329" s="0">
        <v>12</v>
      </c>
      <c r="I329" s="0">
        <v>51</v>
      </c>
      <c r="J329" s="0">
        <v>2785</v>
      </c>
    </row>
    <row r="330">
      <c r="A330" s="0" t="s">
        <v>28</v>
      </c>
      <c r="B330" s="0" t="s">
        <v>30</v>
      </c>
      <c r="C330" s="0" t="s">
        <v>184</v>
      </c>
      <c r="D330" s="0" t="s">
        <v>293</v>
      </c>
      <c r="E330" s="0" t="s">
        <v>154</v>
      </c>
      <c r="F330" s="0" t="s">
        <v>526</v>
      </c>
      <c r="G330" s="0" t="s">
        <v>550</v>
      </c>
      <c r="H330" s="0">
        <v>12</v>
      </c>
      <c r="I330" s="0">
        <v>51</v>
      </c>
      <c r="J330" s="0">
        <v>2785</v>
      </c>
    </row>
    <row r="331">
      <c r="A331" s="0" t="s">
        <v>28</v>
      </c>
      <c r="B331" s="0" t="s">
        <v>30</v>
      </c>
      <c r="C331" s="0" t="s">
        <v>184</v>
      </c>
      <c r="D331" s="0" t="s">
        <v>293</v>
      </c>
      <c r="E331" s="0" t="s">
        <v>154</v>
      </c>
      <c r="F331" s="0" t="s">
        <v>528</v>
      </c>
      <c r="G331" s="0" t="s">
        <v>529</v>
      </c>
      <c r="H331" s="0">
        <v>12</v>
      </c>
      <c r="I331" s="0">
        <v>51</v>
      </c>
      <c r="J331" s="0">
        <v>2785</v>
      </c>
    </row>
    <row r="332">
      <c r="A332" s="0" t="s">
        <v>28</v>
      </c>
      <c r="B332" s="0" t="s">
        <v>30</v>
      </c>
      <c r="C332" s="0" t="s">
        <v>184</v>
      </c>
      <c r="D332" s="0" t="s">
        <v>293</v>
      </c>
      <c r="E332" s="0" t="s">
        <v>154</v>
      </c>
      <c r="F332" s="0" t="s">
        <v>530</v>
      </c>
      <c r="G332" s="0" t="s">
        <v>295</v>
      </c>
      <c r="H332" s="0">
        <v>12</v>
      </c>
      <c r="I332" s="0">
        <v>51</v>
      </c>
      <c r="J332" s="0">
        <v>2785</v>
      </c>
    </row>
    <row r="333">
      <c r="A333" s="0" t="s">
        <v>28</v>
      </c>
      <c r="B333" s="0" t="s">
        <v>30</v>
      </c>
      <c r="C333" s="0" t="s">
        <v>184</v>
      </c>
      <c r="D333" s="0" t="s">
        <v>293</v>
      </c>
      <c r="E333" s="0" t="s">
        <v>154</v>
      </c>
      <c r="F333" s="0" t="s">
        <v>531</v>
      </c>
      <c r="G333" s="0" t="s">
        <v>532</v>
      </c>
      <c r="H333" s="0">
        <v>12</v>
      </c>
      <c r="I333" s="0">
        <v>51</v>
      </c>
      <c r="J333" s="0">
        <v>2785</v>
      </c>
    </row>
    <row r="334">
      <c r="A334" s="0" t="s">
        <v>28</v>
      </c>
      <c r="B334" s="0" t="s">
        <v>30</v>
      </c>
      <c r="C334" s="0" t="s">
        <v>184</v>
      </c>
      <c r="D334" s="0" t="s">
        <v>293</v>
      </c>
      <c r="E334" s="0" t="s">
        <v>154</v>
      </c>
      <c r="F334" s="0" t="s">
        <v>336</v>
      </c>
      <c r="G334" s="0" t="s">
        <v>364</v>
      </c>
      <c r="H334" s="0">
        <v>12</v>
      </c>
      <c r="I334" s="0">
        <v>51</v>
      </c>
      <c r="J334" s="0">
        <v>2785</v>
      </c>
    </row>
    <row r="335">
      <c r="A335" s="0" t="s">
        <v>28</v>
      </c>
      <c r="B335" s="0" t="s">
        <v>30</v>
      </c>
      <c r="C335" s="0" t="s">
        <v>184</v>
      </c>
      <c r="D335" s="0" t="s">
        <v>293</v>
      </c>
      <c r="E335" s="0" t="s">
        <v>154</v>
      </c>
      <c r="F335" s="0" t="s">
        <v>338</v>
      </c>
      <c r="G335" s="0" t="s">
        <v>365</v>
      </c>
      <c r="H335" s="0">
        <v>12</v>
      </c>
      <c r="I335" s="0">
        <v>51</v>
      </c>
      <c r="J335" s="0">
        <v>2785</v>
      </c>
    </row>
    <row r="336">
      <c r="A336" s="0" t="s">
        <v>28</v>
      </c>
      <c r="B336" s="0" t="s">
        <v>30</v>
      </c>
      <c r="C336" s="0" t="s">
        <v>184</v>
      </c>
      <c r="D336" s="0" t="s">
        <v>293</v>
      </c>
      <c r="E336" s="0" t="s">
        <v>154</v>
      </c>
      <c r="F336" s="0" t="s">
        <v>340</v>
      </c>
      <c r="G336" s="0" t="s">
        <v>341</v>
      </c>
      <c r="H336" s="0">
        <v>12</v>
      </c>
      <c r="I336" s="0">
        <v>51</v>
      </c>
      <c r="J336" s="0">
        <v>2785</v>
      </c>
    </row>
    <row r="337">
      <c r="A337" s="0" t="s">
        <v>28</v>
      </c>
      <c r="B337" s="0" t="s">
        <v>30</v>
      </c>
      <c r="C337" s="0" t="s">
        <v>184</v>
      </c>
      <c r="D337" s="0" t="s">
        <v>293</v>
      </c>
      <c r="E337" s="0" t="s">
        <v>154</v>
      </c>
      <c r="F337" s="0" t="s">
        <v>342</v>
      </c>
      <c r="G337" s="0" t="s">
        <v>341</v>
      </c>
      <c r="H337" s="0">
        <v>12</v>
      </c>
      <c r="I337" s="0">
        <v>51</v>
      </c>
      <c r="J337" s="0">
        <v>2785</v>
      </c>
    </row>
    <row r="338">
      <c r="A338" s="0" t="s">
        <v>28</v>
      </c>
      <c r="B338" s="0" t="s">
        <v>30</v>
      </c>
      <c r="C338" s="0" t="s">
        <v>184</v>
      </c>
      <c r="D338" s="0" t="s">
        <v>293</v>
      </c>
      <c r="E338" s="0" t="s">
        <v>154</v>
      </c>
      <c r="F338" s="0" t="s">
        <v>343</v>
      </c>
      <c r="G338" s="0" t="s">
        <v>344</v>
      </c>
      <c r="H338" s="0">
        <v>12</v>
      </c>
      <c r="I338" s="0">
        <v>51</v>
      </c>
      <c r="J338" s="0">
        <v>2785</v>
      </c>
    </row>
    <row r="339">
      <c r="A339" s="0" t="s">
        <v>28</v>
      </c>
      <c r="B339" s="0" t="s">
        <v>30</v>
      </c>
      <c r="C339" s="0" t="s">
        <v>184</v>
      </c>
      <c r="D339" s="0" t="s">
        <v>293</v>
      </c>
      <c r="E339" s="0" t="s">
        <v>154</v>
      </c>
      <c r="F339" s="0" t="s">
        <v>345</v>
      </c>
      <c r="G339" s="0" t="s">
        <v>364</v>
      </c>
      <c r="H339" s="0">
        <v>12</v>
      </c>
      <c r="I339" s="0">
        <v>51</v>
      </c>
      <c r="J339" s="0">
        <v>2785</v>
      </c>
    </row>
    <row r="340">
      <c r="A340" s="0" t="s">
        <v>28</v>
      </c>
      <c r="B340" s="0" t="s">
        <v>30</v>
      </c>
      <c r="C340" s="0" t="s">
        <v>186</v>
      </c>
      <c r="D340" s="0" t="s">
        <v>297</v>
      </c>
      <c r="E340" s="0" t="s">
        <v>154</v>
      </c>
      <c r="F340" s="0" t="s">
        <v>327</v>
      </c>
      <c r="G340" s="0" t="s">
        <v>30</v>
      </c>
      <c r="H340" s="0">
        <v>12</v>
      </c>
      <c r="I340" s="0">
        <v>54</v>
      </c>
      <c r="J340" s="0">
        <v>2781</v>
      </c>
    </row>
    <row r="341">
      <c r="A341" s="0" t="s">
        <v>28</v>
      </c>
      <c r="B341" s="0" t="s">
        <v>30</v>
      </c>
      <c r="C341" s="0" t="s">
        <v>186</v>
      </c>
      <c r="D341" s="0" t="s">
        <v>297</v>
      </c>
      <c r="E341" s="0" t="s">
        <v>154</v>
      </c>
      <c r="F341" s="0" t="s">
        <v>328</v>
      </c>
      <c r="G341" s="0" t="s">
        <v>297</v>
      </c>
      <c r="H341" s="0">
        <v>12</v>
      </c>
      <c r="I341" s="0">
        <v>54</v>
      </c>
      <c r="J341" s="0">
        <v>2781</v>
      </c>
    </row>
    <row r="342">
      <c r="A342" s="0" t="s">
        <v>28</v>
      </c>
      <c r="B342" s="0" t="s">
        <v>30</v>
      </c>
      <c r="C342" s="0" t="s">
        <v>186</v>
      </c>
      <c r="D342" s="0" t="s">
        <v>297</v>
      </c>
      <c r="E342" s="0" t="s">
        <v>154</v>
      </c>
      <c r="F342" s="0" t="s">
        <v>329</v>
      </c>
      <c r="G342" s="0" t="s">
        <v>186</v>
      </c>
      <c r="H342" s="0">
        <v>12</v>
      </c>
      <c r="I342" s="0">
        <v>54</v>
      </c>
      <c r="J342" s="0">
        <v>2781</v>
      </c>
    </row>
    <row r="343">
      <c r="A343" s="0" t="s">
        <v>28</v>
      </c>
      <c r="B343" s="0" t="s">
        <v>30</v>
      </c>
      <c r="C343" s="0" t="s">
        <v>186</v>
      </c>
      <c r="D343" s="0" t="s">
        <v>297</v>
      </c>
      <c r="E343" s="0" t="s">
        <v>154</v>
      </c>
      <c r="F343" s="0" t="s">
        <v>444</v>
      </c>
      <c r="G343" s="0" t="s">
        <v>551</v>
      </c>
      <c r="H343" s="0">
        <v>12</v>
      </c>
      <c r="I343" s="0">
        <v>54</v>
      </c>
      <c r="J343" s="0">
        <v>2781</v>
      </c>
    </row>
    <row r="344">
      <c r="A344" s="0" t="s">
        <v>28</v>
      </c>
      <c r="B344" s="0" t="s">
        <v>30</v>
      </c>
      <c r="C344" s="0" t="s">
        <v>186</v>
      </c>
      <c r="D344" s="0" t="s">
        <v>297</v>
      </c>
      <c r="E344" s="0" t="s">
        <v>154</v>
      </c>
      <c r="F344" s="0" t="s">
        <v>446</v>
      </c>
      <c r="G344" s="0" t="s">
        <v>341</v>
      </c>
      <c r="H344" s="0">
        <v>12</v>
      </c>
      <c r="I344" s="0">
        <v>54</v>
      </c>
      <c r="J344" s="0">
        <v>2781</v>
      </c>
    </row>
    <row r="345">
      <c r="A345" s="0" t="s">
        <v>28</v>
      </c>
      <c r="B345" s="0" t="s">
        <v>30</v>
      </c>
      <c r="C345" s="0" t="s">
        <v>186</v>
      </c>
      <c r="D345" s="0" t="s">
        <v>297</v>
      </c>
      <c r="E345" s="0" t="s">
        <v>154</v>
      </c>
      <c r="F345" s="0" t="s">
        <v>447</v>
      </c>
      <c r="G345" s="0" t="s">
        <v>448</v>
      </c>
      <c r="H345" s="0">
        <v>12</v>
      </c>
      <c r="I345" s="0">
        <v>54</v>
      </c>
      <c r="J345" s="0">
        <v>2781</v>
      </c>
    </row>
    <row r="346">
      <c r="A346" s="0" t="s">
        <v>28</v>
      </c>
      <c r="B346" s="0" t="s">
        <v>30</v>
      </c>
      <c r="C346" s="0" t="s">
        <v>186</v>
      </c>
      <c r="D346" s="0" t="s">
        <v>297</v>
      </c>
      <c r="E346" s="0" t="s">
        <v>154</v>
      </c>
      <c r="F346" s="0" t="s">
        <v>449</v>
      </c>
      <c r="G346" s="0" t="s">
        <v>450</v>
      </c>
      <c r="H346" s="0">
        <v>12</v>
      </c>
      <c r="I346" s="0">
        <v>54</v>
      </c>
      <c r="J346" s="0">
        <v>2781</v>
      </c>
    </row>
    <row r="347">
      <c r="A347" s="0" t="s">
        <v>28</v>
      </c>
      <c r="B347" s="0" t="s">
        <v>30</v>
      </c>
      <c r="C347" s="0" t="s">
        <v>186</v>
      </c>
      <c r="D347" s="0" t="s">
        <v>297</v>
      </c>
      <c r="E347" s="0" t="s">
        <v>154</v>
      </c>
      <c r="F347" s="0" t="s">
        <v>451</v>
      </c>
      <c r="G347" s="0" t="s">
        <v>452</v>
      </c>
      <c r="H347" s="0">
        <v>12</v>
      </c>
      <c r="I347" s="0">
        <v>54</v>
      </c>
      <c r="J347" s="0">
        <v>2781</v>
      </c>
    </row>
    <row r="348">
      <c r="A348" s="0" t="s">
        <v>28</v>
      </c>
      <c r="B348" s="0" t="s">
        <v>30</v>
      </c>
      <c r="C348" s="0" t="s">
        <v>186</v>
      </c>
      <c r="D348" s="0" t="s">
        <v>297</v>
      </c>
      <c r="E348" s="0" t="s">
        <v>154</v>
      </c>
      <c r="F348" s="0" t="s">
        <v>453</v>
      </c>
      <c r="G348" s="0" t="s">
        <v>454</v>
      </c>
      <c r="H348" s="0">
        <v>12</v>
      </c>
      <c r="I348" s="0">
        <v>54</v>
      </c>
      <c r="J348" s="0">
        <v>2781</v>
      </c>
    </row>
    <row r="349">
      <c r="A349" s="0" t="s">
        <v>28</v>
      </c>
      <c r="B349" s="0" t="s">
        <v>30</v>
      </c>
      <c r="C349" s="0" t="s">
        <v>186</v>
      </c>
      <c r="D349" s="0" t="s">
        <v>297</v>
      </c>
      <c r="E349" s="0" t="s">
        <v>154</v>
      </c>
      <c r="F349" s="0" t="s">
        <v>455</v>
      </c>
      <c r="G349" s="0" t="s">
        <v>456</v>
      </c>
      <c r="H349" s="0">
        <v>12</v>
      </c>
      <c r="I349" s="0">
        <v>54</v>
      </c>
      <c r="J349" s="0">
        <v>2781</v>
      </c>
    </row>
    <row r="350">
      <c r="A350" s="0" t="s">
        <v>28</v>
      </c>
      <c r="B350" s="0" t="s">
        <v>30</v>
      </c>
      <c r="C350" s="0" t="s">
        <v>186</v>
      </c>
      <c r="D350" s="0" t="s">
        <v>297</v>
      </c>
      <c r="E350" s="0" t="s">
        <v>154</v>
      </c>
      <c r="F350" s="0" t="s">
        <v>457</v>
      </c>
      <c r="G350" s="0" t="s">
        <v>458</v>
      </c>
      <c r="H350" s="0">
        <v>12</v>
      </c>
      <c r="I350" s="0">
        <v>54</v>
      </c>
      <c r="J350" s="0">
        <v>2781</v>
      </c>
    </row>
    <row r="351">
      <c r="A351" s="0" t="s">
        <v>28</v>
      </c>
      <c r="B351" s="0" t="s">
        <v>30</v>
      </c>
      <c r="C351" s="0" t="s">
        <v>186</v>
      </c>
      <c r="D351" s="0" t="s">
        <v>297</v>
      </c>
      <c r="E351" s="0" t="s">
        <v>154</v>
      </c>
      <c r="F351" s="0" t="s">
        <v>459</v>
      </c>
      <c r="G351" s="0" t="s">
        <v>299</v>
      </c>
      <c r="H351" s="0">
        <v>12</v>
      </c>
      <c r="I351" s="0">
        <v>54</v>
      </c>
      <c r="J351" s="0">
        <v>2781</v>
      </c>
    </row>
    <row r="352">
      <c r="A352" s="0" t="s">
        <v>28</v>
      </c>
      <c r="B352" s="0" t="s">
        <v>30</v>
      </c>
      <c r="C352" s="0" t="s">
        <v>186</v>
      </c>
      <c r="D352" s="0" t="s">
        <v>297</v>
      </c>
      <c r="E352" s="0" t="s">
        <v>154</v>
      </c>
      <c r="F352" s="0" t="s">
        <v>460</v>
      </c>
      <c r="G352" s="0" t="s">
        <v>268</v>
      </c>
      <c r="H352" s="0">
        <v>12</v>
      </c>
      <c r="I352" s="0">
        <v>54</v>
      </c>
      <c r="J352" s="0">
        <v>2781</v>
      </c>
    </row>
    <row r="353">
      <c r="A353" s="0" t="s">
        <v>28</v>
      </c>
      <c r="B353" s="0" t="s">
        <v>30</v>
      </c>
      <c r="C353" s="0" t="s">
        <v>186</v>
      </c>
      <c r="D353" s="0" t="s">
        <v>297</v>
      </c>
      <c r="E353" s="0" t="s">
        <v>154</v>
      </c>
      <c r="F353" s="0" t="s">
        <v>403</v>
      </c>
      <c r="G353" s="0" t="s">
        <v>461</v>
      </c>
      <c r="H353" s="0">
        <v>12</v>
      </c>
      <c r="I353" s="0">
        <v>54</v>
      </c>
      <c r="J353" s="0">
        <v>2781</v>
      </c>
    </row>
    <row r="354">
      <c r="A354" s="0" t="s">
        <v>28</v>
      </c>
      <c r="B354" s="0" t="s">
        <v>30</v>
      </c>
      <c r="C354" s="0" t="s">
        <v>186</v>
      </c>
      <c r="D354" s="0" t="s">
        <v>297</v>
      </c>
      <c r="E354" s="0" t="s">
        <v>154</v>
      </c>
      <c r="F354" s="0" t="s">
        <v>462</v>
      </c>
      <c r="G354" s="0" t="s">
        <v>463</v>
      </c>
      <c r="H354" s="0">
        <v>12</v>
      </c>
      <c r="I354" s="0">
        <v>54</v>
      </c>
      <c r="J354" s="0">
        <v>2781</v>
      </c>
    </row>
    <row r="355">
      <c r="A355" s="0" t="s">
        <v>28</v>
      </c>
      <c r="B355" s="0" t="s">
        <v>30</v>
      </c>
      <c r="C355" s="0" t="s">
        <v>186</v>
      </c>
      <c r="D355" s="0" t="s">
        <v>297</v>
      </c>
      <c r="E355" s="0" t="s">
        <v>154</v>
      </c>
      <c r="F355" s="0" t="s">
        <v>464</v>
      </c>
      <c r="G355" s="0" t="s">
        <v>269</v>
      </c>
      <c r="H355" s="0">
        <v>12</v>
      </c>
      <c r="I355" s="0">
        <v>54</v>
      </c>
      <c r="J355" s="0">
        <v>2781</v>
      </c>
    </row>
    <row r="356">
      <c r="A356" s="0" t="s">
        <v>28</v>
      </c>
      <c r="B356" s="0" t="s">
        <v>30</v>
      </c>
      <c r="C356" s="0" t="s">
        <v>186</v>
      </c>
      <c r="D356" s="0" t="s">
        <v>297</v>
      </c>
      <c r="E356" s="0" t="s">
        <v>154</v>
      </c>
      <c r="F356" s="0" t="s">
        <v>427</v>
      </c>
      <c r="G356" s="0" t="s">
        <v>465</v>
      </c>
      <c r="H356" s="0">
        <v>12</v>
      </c>
      <c r="I356" s="0">
        <v>54</v>
      </c>
      <c r="J356" s="0">
        <v>2781</v>
      </c>
    </row>
    <row r="357">
      <c r="A357" s="0" t="s">
        <v>28</v>
      </c>
      <c r="B357" s="0" t="s">
        <v>30</v>
      </c>
      <c r="C357" s="0" t="s">
        <v>186</v>
      </c>
      <c r="D357" s="0" t="s">
        <v>297</v>
      </c>
      <c r="E357" s="0" t="s">
        <v>154</v>
      </c>
      <c r="F357" s="0" t="s">
        <v>429</v>
      </c>
      <c r="G357" s="0" t="s">
        <v>552</v>
      </c>
      <c r="H357" s="0">
        <v>12</v>
      </c>
      <c r="I357" s="0">
        <v>54</v>
      </c>
      <c r="J357" s="0">
        <v>2781</v>
      </c>
    </row>
    <row r="358">
      <c r="A358" s="0" t="s">
        <v>28</v>
      </c>
      <c r="B358" s="0" t="s">
        <v>30</v>
      </c>
      <c r="C358" s="0" t="s">
        <v>186</v>
      </c>
      <c r="D358" s="0" t="s">
        <v>297</v>
      </c>
      <c r="E358" s="0" t="s">
        <v>154</v>
      </c>
      <c r="F358" s="0" t="s">
        <v>467</v>
      </c>
      <c r="G358" s="0" t="s">
        <v>270</v>
      </c>
      <c r="H358" s="0">
        <v>12</v>
      </c>
      <c r="I358" s="0">
        <v>54</v>
      </c>
      <c r="J358" s="0">
        <v>2781</v>
      </c>
    </row>
    <row r="359">
      <c r="A359" s="0" t="s">
        <v>28</v>
      </c>
      <c r="B359" s="0" t="s">
        <v>30</v>
      </c>
      <c r="C359" s="0" t="s">
        <v>186</v>
      </c>
      <c r="D359" s="0" t="s">
        <v>297</v>
      </c>
      <c r="E359" s="0" t="s">
        <v>154</v>
      </c>
      <c r="F359" s="0" t="s">
        <v>468</v>
      </c>
      <c r="G359" s="0" t="s">
        <v>271</v>
      </c>
      <c r="H359" s="0">
        <v>12</v>
      </c>
      <c r="I359" s="0">
        <v>54</v>
      </c>
      <c r="J359" s="0">
        <v>2781</v>
      </c>
    </row>
    <row r="360">
      <c r="A360" s="0" t="s">
        <v>28</v>
      </c>
      <c r="B360" s="0" t="s">
        <v>30</v>
      </c>
      <c r="C360" s="0" t="s">
        <v>186</v>
      </c>
      <c r="D360" s="0" t="s">
        <v>297</v>
      </c>
      <c r="E360" s="0" t="s">
        <v>154</v>
      </c>
      <c r="F360" s="0" t="s">
        <v>369</v>
      </c>
      <c r="G360" s="0" t="s">
        <v>370</v>
      </c>
      <c r="H360" s="0">
        <v>12</v>
      </c>
      <c r="I360" s="0">
        <v>54</v>
      </c>
      <c r="J360" s="0">
        <v>2781</v>
      </c>
    </row>
    <row r="361">
      <c r="A361" s="0" t="s">
        <v>28</v>
      </c>
      <c r="B361" s="0" t="s">
        <v>30</v>
      </c>
      <c r="C361" s="0" t="s">
        <v>186</v>
      </c>
      <c r="D361" s="0" t="s">
        <v>297</v>
      </c>
      <c r="E361" s="0" t="s">
        <v>154</v>
      </c>
      <c r="F361" s="0" t="s">
        <v>469</v>
      </c>
      <c r="G361" s="0" t="s">
        <v>470</v>
      </c>
      <c r="H361" s="0">
        <v>12</v>
      </c>
      <c r="I361" s="0">
        <v>54</v>
      </c>
      <c r="J361" s="0">
        <v>2781</v>
      </c>
    </row>
    <row r="362">
      <c r="A362" s="0" t="s">
        <v>28</v>
      </c>
      <c r="B362" s="0" t="s">
        <v>30</v>
      </c>
      <c r="C362" s="0" t="s">
        <v>186</v>
      </c>
      <c r="D362" s="0" t="s">
        <v>297</v>
      </c>
      <c r="E362" s="0" t="s">
        <v>154</v>
      </c>
      <c r="F362" s="0" t="s">
        <v>471</v>
      </c>
      <c r="G362" s="0" t="s">
        <v>272</v>
      </c>
      <c r="H362" s="0">
        <v>12</v>
      </c>
      <c r="I362" s="0">
        <v>54</v>
      </c>
      <c r="J362" s="0">
        <v>2781</v>
      </c>
    </row>
    <row r="363">
      <c r="A363" s="0" t="s">
        <v>28</v>
      </c>
      <c r="B363" s="0" t="s">
        <v>30</v>
      </c>
      <c r="C363" s="0" t="s">
        <v>186</v>
      </c>
      <c r="D363" s="0" t="s">
        <v>297</v>
      </c>
      <c r="E363" s="0" t="s">
        <v>154</v>
      </c>
      <c r="F363" s="0" t="s">
        <v>472</v>
      </c>
      <c r="G363" s="0" t="s">
        <v>473</v>
      </c>
      <c r="H363" s="0">
        <v>12</v>
      </c>
      <c r="I363" s="0">
        <v>54</v>
      </c>
      <c r="J363" s="0">
        <v>2781</v>
      </c>
    </row>
    <row r="364">
      <c r="A364" s="0" t="s">
        <v>28</v>
      </c>
      <c r="B364" s="0" t="s">
        <v>30</v>
      </c>
      <c r="C364" s="0" t="s">
        <v>186</v>
      </c>
      <c r="D364" s="0" t="s">
        <v>297</v>
      </c>
      <c r="E364" s="0" t="s">
        <v>154</v>
      </c>
      <c r="F364" s="0" t="s">
        <v>331</v>
      </c>
      <c r="G364" s="0" t="s">
        <v>332</v>
      </c>
      <c r="H364" s="0">
        <v>12</v>
      </c>
      <c r="I364" s="0">
        <v>54</v>
      </c>
      <c r="J364" s="0">
        <v>2781</v>
      </c>
    </row>
    <row r="365">
      <c r="A365" s="0" t="s">
        <v>28</v>
      </c>
      <c r="B365" s="0" t="s">
        <v>30</v>
      </c>
      <c r="C365" s="0" t="s">
        <v>186</v>
      </c>
      <c r="D365" s="0" t="s">
        <v>297</v>
      </c>
      <c r="E365" s="0" t="s">
        <v>154</v>
      </c>
      <c r="F365" s="0" t="s">
        <v>474</v>
      </c>
      <c r="G365" s="0" t="s">
        <v>272</v>
      </c>
      <c r="H365" s="0">
        <v>12</v>
      </c>
      <c r="I365" s="0">
        <v>54</v>
      </c>
      <c r="J365" s="0">
        <v>2781</v>
      </c>
    </row>
    <row r="366">
      <c r="A366" s="0" t="s">
        <v>28</v>
      </c>
      <c r="B366" s="0" t="s">
        <v>30</v>
      </c>
      <c r="C366" s="0" t="s">
        <v>186</v>
      </c>
      <c r="D366" s="0" t="s">
        <v>297</v>
      </c>
      <c r="E366" s="0" t="s">
        <v>154</v>
      </c>
      <c r="F366" s="0" t="s">
        <v>475</v>
      </c>
      <c r="G366" s="0" t="s">
        <v>476</v>
      </c>
      <c r="H366" s="0">
        <v>12</v>
      </c>
      <c r="I366" s="0">
        <v>54</v>
      </c>
      <c r="J366" s="0">
        <v>2781</v>
      </c>
    </row>
    <row r="367">
      <c r="A367" s="0" t="s">
        <v>28</v>
      </c>
      <c r="B367" s="0" t="s">
        <v>30</v>
      </c>
      <c r="C367" s="0" t="s">
        <v>186</v>
      </c>
      <c r="D367" s="0" t="s">
        <v>297</v>
      </c>
      <c r="E367" s="0" t="s">
        <v>154</v>
      </c>
      <c r="F367" s="0" t="s">
        <v>477</v>
      </c>
      <c r="G367" s="0" t="s">
        <v>478</v>
      </c>
      <c r="H367" s="0">
        <v>12</v>
      </c>
      <c r="I367" s="0">
        <v>54</v>
      </c>
      <c r="J367" s="0">
        <v>2781</v>
      </c>
    </row>
    <row r="368">
      <c r="A368" s="0" t="s">
        <v>28</v>
      </c>
      <c r="B368" s="0" t="s">
        <v>30</v>
      </c>
      <c r="C368" s="0" t="s">
        <v>186</v>
      </c>
      <c r="D368" s="0" t="s">
        <v>297</v>
      </c>
      <c r="E368" s="0" t="s">
        <v>154</v>
      </c>
      <c r="F368" s="0" t="s">
        <v>479</v>
      </c>
      <c r="G368" s="0" t="s">
        <v>273</v>
      </c>
      <c r="H368" s="0">
        <v>12</v>
      </c>
      <c r="I368" s="0">
        <v>54</v>
      </c>
      <c r="J368" s="0">
        <v>2781</v>
      </c>
    </row>
    <row r="369">
      <c r="A369" s="0" t="s">
        <v>28</v>
      </c>
      <c r="B369" s="0" t="s">
        <v>30</v>
      </c>
      <c r="C369" s="0" t="s">
        <v>186</v>
      </c>
      <c r="D369" s="0" t="s">
        <v>297</v>
      </c>
      <c r="E369" s="0" t="s">
        <v>154</v>
      </c>
      <c r="F369" s="0" t="s">
        <v>480</v>
      </c>
      <c r="G369" s="0" t="s">
        <v>274</v>
      </c>
      <c r="H369" s="0">
        <v>12</v>
      </c>
      <c r="I369" s="0">
        <v>54</v>
      </c>
      <c r="J369" s="0">
        <v>2781</v>
      </c>
    </row>
    <row r="370">
      <c r="A370" s="0" t="s">
        <v>28</v>
      </c>
      <c r="B370" s="0" t="s">
        <v>30</v>
      </c>
      <c r="C370" s="0" t="s">
        <v>186</v>
      </c>
      <c r="D370" s="0" t="s">
        <v>297</v>
      </c>
      <c r="E370" s="0" t="s">
        <v>154</v>
      </c>
      <c r="F370" s="0" t="s">
        <v>481</v>
      </c>
      <c r="G370" s="0" t="s">
        <v>275</v>
      </c>
      <c r="H370" s="0">
        <v>12</v>
      </c>
      <c r="I370" s="0">
        <v>54</v>
      </c>
      <c r="J370" s="0">
        <v>2781</v>
      </c>
    </row>
    <row r="371">
      <c r="A371" s="0" t="s">
        <v>28</v>
      </c>
      <c r="B371" s="0" t="s">
        <v>30</v>
      </c>
      <c r="C371" s="0" t="s">
        <v>186</v>
      </c>
      <c r="D371" s="0" t="s">
        <v>297</v>
      </c>
      <c r="E371" s="0" t="s">
        <v>154</v>
      </c>
      <c r="F371" s="0" t="s">
        <v>482</v>
      </c>
      <c r="G371" s="0" t="s">
        <v>483</v>
      </c>
      <c r="H371" s="0">
        <v>12</v>
      </c>
      <c r="I371" s="0">
        <v>54</v>
      </c>
      <c r="J371" s="0">
        <v>2781</v>
      </c>
    </row>
    <row r="372">
      <c r="A372" s="0" t="s">
        <v>28</v>
      </c>
      <c r="B372" s="0" t="s">
        <v>30</v>
      </c>
      <c r="C372" s="0" t="s">
        <v>186</v>
      </c>
      <c r="D372" s="0" t="s">
        <v>297</v>
      </c>
      <c r="E372" s="0" t="s">
        <v>154</v>
      </c>
      <c r="F372" s="0" t="s">
        <v>484</v>
      </c>
      <c r="G372" s="0" t="s">
        <v>272</v>
      </c>
      <c r="H372" s="0">
        <v>12</v>
      </c>
      <c r="I372" s="0">
        <v>54</v>
      </c>
      <c r="J372" s="0">
        <v>2781</v>
      </c>
    </row>
    <row r="373">
      <c r="A373" s="0" t="s">
        <v>28</v>
      </c>
      <c r="B373" s="0" t="s">
        <v>30</v>
      </c>
      <c r="C373" s="0" t="s">
        <v>186</v>
      </c>
      <c r="D373" s="0" t="s">
        <v>297</v>
      </c>
      <c r="E373" s="0" t="s">
        <v>154</v>
      </c>
      <c r="F373" s="0" t="s">
        <v>485</v>
      </c>
      <c r="G373" s="0" t="s">
        <v>473</v>
      </c>
      <c r="H373" s="0">
        <v>12</v>
      </c>
      <c r="I373" s="0">
        <v>54</v>
      </c>
      <c r="J373" s="0">
        <v>2781</v>
      </c>
    </row>
    <row r="374">
      <c r="A374" s="0" t="s">
        <v>28</v>
      </c>
      <c r="B374" s="0" t="s">
        <v>30</v>
      </c>
      <c r="C374" s="0" t="s">
        <v>186</v>
      </c>
      <c r="D374" s="0" t="s">
        <v>297</v>
      </c>
      <c r="E374" s="0" t="s">
        <v>154</v>
      </c>
      <c r="F374" s="0" t="s">
        <v>486</v>
      </c>
      <c r="G374" s="0" t="s">
        <v>272</v>
      </c>
      <c r="H374" s="0">
        <v>12</v>
      </c>
      <c r="I374" s="0">
        <v>54</v>
      </c>
      <c r="J374" s="0">
        <v>2781</v>
      </c>
    </row>
    <row r="375">
      <c r="A375" s="0" t="s">
        <v>28</v>
      </c>
      <c r="B375" s="0" t="s">
        <v>30</v>
      </c>
      <c r="C375" s="0" t="s">
        <v>186</v>
      </c>
      <c r="D375" s="0" t="s">
        <v>297</v>
      </c>
      <c r="E375" s="0" t="s">
        <v>154</v>
      </c>
      <c r="F375" s="0" t="s">
        <v>487</v>
      </c>
      <c r="G375" s="0" t="s">
        <v>276</v>
      </c>
      <c r="H375" s="0">
        <v>12</v>
      </c>
      <c r="I375" s="0">
        <v>54</v>
      </c>
      <c r="J375" s="0">
        <v>2781</v>
      </c>
    </row>
    <row r="376">
      <c r="A376" s="0" t="s">
        <v>28</v>
      </c>
      <c r="B376" s="0" t="s">
        <v>30</v>
      </c>
      <c r="C376" s="0" t="s">
        <v>186</v>
      </c>
      <c r="D376" s="0" t="s">
        <v>297</v>
      </c>
      <c r="E376" s="0" t="s">
        <v>154</v>
      </c>
      <c r="F376" s="0" t="s">
        <v>488</v>
      </c>
      <c r="G376" s="0" t="s">
        <v>489</v>
      </c>
      <c r="H376" s="0">
        <v>12</v>
      </c>
      <c r="I376" s="0">
        <v>54</v>
      </c>
      <c r="J376" s="0">
        <v>2781</v>
      </c>
    </row>
    <row r="377">
      <c r="A377" s="0" t="s">
        <v>28</v>
      </c>
      <c r="B377" s="0" t="s">
        <v>30</v>
      </c>
      <c r="C377" s="0" t="s">
        <v>186</v>
      </c>
      <c r="D377" s="0" t="s">
        <v>297</v>
      </c>
      <c r="E377" s="0" t="s">
        <v>154</v>
      </c>
      <c r="F377" s="0" t="s">
        <v>372</v>
      </c>
      <c r="G377" s="0" t="s">
        <v>341</v>
      </c>
      <c r="H377" s="0">
        <v>12</v>
      </c>
      <c r="I377" s="0">
        <v>54</v>
      </c>
      <c r="J377" s="0">
        <v>2781</v>
      </c>
    </row>
    <row r="378">
      <c r="A378" s="0" t="s">
        <v>28</v>
      </c>
      <c r="B378" s="0" t="s">
        <v>30</v>
      </c>
      <c r="C378" s="0" t="s">
        <v>186</v>
      </c>
      <c r="D378" s="0" t="s">
        <v>297</v>
      </c>
      <c r="E378" s="0" t="s">
        <v>154</v>
      </c>
      <c r="F378" s="0" t="s">
        <v>490</v>
      </c>
      <c r="G378" s="0" t="s">
        <v>491</v>
      </c>
      <c r="H378" s="0">
        <v>12</v>
      </c>
      <c r="I378" s="0">
        <v>54</v>
      </c>
      <c r="J378" s="0">
        <v>2781</v>
      </c>
    </row>
    <row r="379">
      <c r="A379" s="0" t="s">
        <v>28</v>
      </c>
      <c r="B379" s="0" t="s">
        <v>30</v>
      </c>
      <c r="C379" s="0" t="s">
        <v>186</v>
      </c>
      <c r="D379" s="0" t="s">
        <v>297</v>
      </c>
      <c r="E379" s="0" t="s">
        <v>154</v>
      </c>
      <c r="F379" s="0" t="s">
        <v>373</v>
      </c>
      <c r="G379" s="0" t="s">
        <v>341</v>
      </c>
      <c r="H379" s="0">
        <v>12</v>
      </c>
      <c r="I379" s="0">
        <v>54</v>
      </c>
      <c r="J379" s="0">
        <v>2781</v>
      </c>
    </row>
    <row r="380">
      <c r="A380" s="0" t="s">
        <v>28</v>
      </c>
      <c r="B380" s="0" t="s">
        <v>30</v>
      </c>
      <c r="C380" s="0" t="s">
        <v>186</v>
      </c>
      <c r="D380" s="0" t="s">
        <v>297</v>
      </c>
      <c r="E380" s="0" t="s">
        <v>154</v>
      </c>
      <c r="F380" s="0" t="s">
        <v>374</v>
      </c>
      <c r="G380" s="0" t="s">
        <v>114</v>
      </c>
      <c r="H380" s="0">
        <v>12</v>
      </c>
      <c r="I380" s="0">
        <v>54</v>
      </c>
      <c r="J380" s="0">
        <v>2781</v>
      </c>
    </row>
    <row r="381">
      <c r="A381" s="0" t="s">
        <v>28</v>
      </c>
      <c r="B381" s="0" t="s">
        <v>30</v>
      </c>
      <c r="C381" s="0" t="s">
        <v>186</v>
      </c>
      <c r="D381" s="0" t="s">
        <v>297</v>
      </c>
      <c r="E381" s="0" t="s">
        <v>154</v>
      </c>
      <c r="F381" s="0" t="s">
        <v>492</v>
      </c>
      <c r="G381" s="0" t="s">
        <v>493</v>
      </c>
      <c r="H381" s="0">
        <v>12</v>
      </c>
      <c r="I381" s="0">
        <v>54</v>
      </c>
      <c r="J381" s="0">
        <v>2781</v>
      </c>
    </row>
    <row r="382">
      <c r="A382" s="0" t="s">
        <v>28</v>
      </c>
      <c r="B382" s="0" t="s">
        <v>30</v>
      </c>
      <c r="C382" s="0" t="s">
        <v>186</v>
      </c>
      <c r="D382" s="0" t="s">
        <v>297</v>
      </c>
      <c r="E382" s="0" t="s">
        <v>154</v>
      </c>
      <c r="F382" s="0" t="s">
        <v>494</v>
      </c>
      <c r="G382" s="0" t="s">
        <v>277</v>
      </c>
      <c r="H382" s="0">
        <v>12</v>
      </c>
      <c r="I382" s="0">
        <v>54</v>
      </c>
      <c r="J382" s="0">
        <v>2781</v>
      </c>
    </row>
    <row r="383">
      <c r="A383" s="0" t="s">
        <v>28</v>
      </c>
      <c r="B383" s="0" t="s">
        <v>30</v>
      </c>
      <c r="C383" s="0" t="s">
        <v>186</v>
      </c>
      <c r="D383" s="0" t="s">
        <v>297</v>
      </c>
      <c r="E383" s="0" t="s">
        <v>154</v>
      </c>
      <c r="F383" s="0" t="s">
        <v>495</v>
      </c>
      <c r="G383" s="0" t="s">
        <v>257</v>
      </c>
      <c r="H383" s="0">
        <v>12</v>
      </c>
      <c r="I383" s="0">
        <v>54</v>
      </c>
      <c r="J383" s="0">
        <v>2781</v>
      </c>
    </row>
    <row r="384">
      <c r="A384" s="0" t="s">
        <v>28</v>
      </c>
      <c r="B384" s="0" t="s">
        <v>30</v>
      </c>
      <c r="C384" s="0" t="s">
        <v>186</v>
      </c>
      <c r="D384" s="0" t="s">
        <v>297</v>
      </c>
      <c r="E384" s="0" t="s">
        <v>154</v>
      </c>
      <c r="F384" s="0" t="s">
        <v>496</v>
      </c>
      <c r="G384" s="0" t="s">
        <v>286</v>
      </c>
      <c r="H384" s="0">
        <v>12</v>
      </c>
      <c r="I384" s="0">
        <v>54</v>
      </c>
      <c r="J384" s="0">
        <v>2781</v>
      </c>
    </row>
    <row r="385">
      <c r="A385" s="0" t="s">
        <v>28</v>
      </c>
      <c r="B385" s="0" t="s">
        <v>30</v>
      </c>
      <c r="C385" s="0" t="s">
        <v>186</v>
      </c>
      <c r="D385" s="0" t="s">
        <v>297</v>
      </c>
      <c r="E385" s="0" t="s">
        <v>154</v>
      </c>
      <c r="F385" s="0" t="s">
        <v>497</v>
      </c>
      <c r="G385" s="0" t="s">
        <v>498</v>
      </c>
      <c r="H385" s="0">
        <v>12</v>
      </c>
      <c r="I385" s="0">
        <v>54</v>
      </c>
      <c r="J385" s="0">
        <v>2781</v>
      </c>
    </row>
    <row r="386">
      <c r="A386" s="0" t="s">
        <v>28</v>
      </c>
      <c r="B386" s="0" t="s">
        <v>30</v>
      </c>
      <c r="C386" s="0" t="s">
        <v>186</v>
      </c>
      <c r="D386" s="0" t="s">
        <v>297</v>
      </c>
      <c r="E386" s="0" t="s">
        <v>154</v>
      </c>
      <c r="F386" s="0" t="s">
        <v>499</v>
      </c>
      <c r="G386" s="0" t="s">
        <v>553</v>
      </c>
      <c r="H386" s="0">
        <v>12</v>
      </c>
      <c r="I386" s="0">
        <v>54</v>
      </c>
      <c r="J386" s="0">
        <v>2781</v>
      </c>
    </row>
    <row r="387">
      <c r="A387" s="0" t="s">
        <v>28</v>
      </c>
      <c r="B387" s="0" t="s">
        <v>30</v>
      </c>
      <c r="C387" s="0" t="s">
        <v>186</v>
      </c>
      <c r="D387" s="0" t="s">
        <v>297</v>
      </c>
      <c r="E387" s="0" t="s">
        <v>154</v>
      </c>
      <c r="F387" s="0" t="s">
        <v>375</v>
      </c>
      <c r="G387" s="0" t="s">
        <v>376</v>
      </c>
      <c r="H387" s="0">
        <v>12</v>
      </c>
      <c r="I387" s="0">
        <v>54</v>
      </c>
      <c r="J387" s="0">
        <v>2781</v>
      </c>
    </row>
    <row r="388">
      <c r="A388" s="0" t="s">
        <v>28</v>
      </c>
      <c r="B388" s="0" t="s">
        <v>30</v>
      </c>
      <c r="C388" s="0" t="s">
        <v>186</v>
      </c>
      <c r="D388" s="0" t="s">
        <v>297</v>
      </c>
      <c r="E388" s="0" t="s">
        <v>154</v>
      </c>
      <c r="F388" s="0" t="s">
        <v>501</v>
      </c>
      <c r="G388" s="0" t="s">
        <v>502</v>
      </c>
      <c r="H388" s="0">
        <v>12</v>
      </c>
      <c r="I388" s="0">
        <v>54</v>
      </c>
      <c r="J388" s="0">
        <v>2781</v>
      </c>
    </row>
    <row r="389">
      <c r="A389" s="0" t="s">
        <v>28</v>
      </c>
      <c r="B389" s="0" t="s">
        <v>30</v>
      </c>
      <c r="C389" s="0" t="s">
        <v>186</v>
      </c>
      <c r="D389" s="0" t="s">
        <v>297</v>
      </c>
      <c r="E389" s="0" t="s">
        <v>154</v>
      </c>
      <c r="F389" s="0" t="s">
        <v>503</v>
      </c>
      <c r="G389" s="0" t="s">
        <v>504</v>
      </c>
      <c r="H389" s="0">
        <v>12</v>
      </c>
      <c r="I389" s="0">
        <v>54</v>
      </c>
      <c r="J389" s="0">
        <v>2781</v>
      </c>
    </row>
    <row r="390">
      <c r="A390" s="0" t="s">
        <v>28</v>
      </c>
      <c r="B390" s="0" t="s">
        <v>30</v>
      </c>
      <c r="C390" s="0" t="s">
        <v>186</v>
      </c>
      <c r="D390" s="0" t="s">
        <v>297</v>
      </c>
      <c r="E390" s="0" t="s">
        <v>154</v>
      </c>
      <c r="F390" s="0" t="s">
        <v>505</v>
      </c>
      <c r="G390" s="0" t="s">
        <v>506</v>
      </c>
      <c r="H390" s="0">
        <v>12</v>
      </c>
      <c r="I390" s="0">
        <v>54</v>
      </c>
      <c r="J390" s="0">
        <v>2781</v>
      </c>
    </row>
    <row r="391">
      <c r="A391" s="0" t="s">
        <v>28</v>
      </c>
      <c r="B391" s="0" t="s">
        <v>30</v>
      </c>
      <c r="C391" s="0" t="s">
        <v>186</v>
      </c>
      <c r="D391" s="0" t="s">
        <v>297</v>
      </c>
      <c r="E391" s="0" t="s">
        <v>154</v>
      </c>
      <c r="F391" s="0" t="s">
        <v>507</v>
      </c>
      <c r="G391" s="0" t="s">
        <v>508</v>
      </c>
      <c r="H391" s="0">
        <v>12</v>
      </c>
      <c r="I391" s="0">
        <v>54</v>
      </c>
      <c r="J391" s="0">
        <v>2781</v>
      </c>
    </row>
    <row r="392">
      <c r="A392" s="0" t="s">
        <v>28</v>
      </c>
      <c r="B392" s="0" t="s">
        <v>30</v>
      </c>
      <c r="C392" s="0" t="s">
        <v>186</v>
      </c>
      <c r="D392" s="0" t="s">
        <v>297</v>
      </c>
      <c r="E392" s="0" t="s">
        <v>154</v>
      </c>
      <c r="F392" s="0" t="s">
        <v>509</v>
      </c>
      <c r="G392" s="0" t="s">
        <v>114</v>
      </c>
      <c r="H392" s="0">
        <v>12</v>
      </c>
      <c r="I392" s="0">
        <v>54</v>
      </c>
      <c r="J392" s="0">
        <v>2781</v>
      </c>
    </row>
    <row r="393">
      <c r="A393" s="0" t="s">
        <v>28</v>
      </c>
      <c r="B393" s="0" t="s">
        <v>30</v>
      </c>
      <c r="C393" s="0" t="s">
        <v>186</v>
      </c>
      <c r="D393" s="0" t="s">
        <v>297</v>
      </c>
      <c r="E393" s="0" t="s">
        <v>154</v>
      </c>
      <c r="F393" s="0" t="s">
        <v>510</v>
      </c>
      <c r="G393" s="0" t="s">
        <v>511</v>
      </c>
      <c r="H393" s="0">
        <v>12</v>
      </c>
      <c r="I393" s="0">
        <v>54</v>
      </c>
      <c r="J393" s="0">
        <v>2781</v>
      </c>
    </row>
    <row r="394">
      <c r="A394" s="0" t="s">
        <v>28</v>
      </c>
      <c r="B394" s="0" t="s">
        <v>30</v>
      </c>
      <c r="C394" s="0" t="s">
        <v>186</v>
      </c>
      <c r="D394" s="0" t="s">
        <v>297</v>
      </c>
      <c r="E394" s="0" t="s">
        <v>154</v>
      </c>
      <c r="F394" s="0" t="s">
        <v>512</v>
      </c>
      <c r="G394" s="0" t="s">
        <v>554</v>
      </c>
      <c r="H394" s="0">
        <v>12</v>
      </c>
      <c r="I394" s="0">
        <v>54</v>
      </c>
      <c r="J394" s="0">
        <v>2781</v>
      </c>
    </row>
    <row r="395">
      <c r="A395" s="0" t="s">
        <v>28</v>
      </c>
      <c r="B395" s="0" t="s">
        <v>30</v>
      </c>
      <c r="C395" s="0" t="s">
        <v>186</v>
      </c>
      <c r="D395" s="0" t="s">
        <v>297</v>
      </c>
      <c r="E395" s="0" t="s">
        <v>154</v>
      </c>
      <c r="F395" s="0" t="s">
        <v>514</v>
      </c>
      <c r="G395" s="0" t="s">
        <v>515</v>
      </c>
      <c r="H395" s="0">
        <v>12</v>
      </c>
      <c r="I395" s="0">
        <v>54</v>
      </c>
      <c r="J395" s="0">
        <v>2781</v>
      </c>
    </row>
    <row r="396">
      <c r="A396" s="0" t="s">
        <v>28</v>
      </c>
      <c r="B396" s="0" t="s">
        <v>30</v>
      </c>
      <c r="C396" s="0" t="s">
        <v>186</v>
      </c>
      <c r="D396" s="0" t="s">
        <v>297</v>
      </c>
      <c r="E396" s="0" t="s">
        <v>154</v>
      </c>
      <c r="F396" s="0" t="s">
        <v>516</v>
      </c>
      <c r="G396" s="0" t="s">
        <v>450</v>
      </c>
      <c r="H396" s="0">
        <v>12</v>
      </c>
      <c r="I396" s="0">
        <v>54</v>
      </c>
      <c r="J396" s="0">
        <v>2781</v>
      </c>
    </row>
    <row r="397">
      <c r="A397" s="0" t="s">
        <v>28</v>
      </c>
      <c r="B397" s="0" t="s">
        <v>30</v>
      </c>
      <c r="C397" s="0" t="s">
        <v>186</v>
      </c>
      <c r="D397" s="0" t="s">
        <v>297</v>
      </c>
      <c r="E397" s="0" t="s">
        <v>154</v>
      </c>
      <c r="F397" s="0" t="s">
        <v>517</v>
      </c>
      <c r="G397" s="0" t="s">
        <v>518</v>
      </c>
      <c r="H397" s="0">
        <v>12</v>
      </c>
      <c r="I397" s="0">
        <v>54</v>
      </c>
      <c r="J397" s="0">
        <v>2781</v>
      </c>
    </row>
    <row r="398">
      <c r="A398" s="0" t="s">
        <v>28</v>
      </c>
      <c r="B398" s="0" t="s">
        <v>30</v>
      </c>
      <c r="C398" s="0" t="s">
        <v>186</v>
      </c>
      <c r="D398" s="0" t="s">
        <v>297</v>
      </c>
      <c r="E398" s="0" t="s">
        <v>154</v>
      </c>
      <c r="F398" s="0" t="s">
        <v>377</v>
      </c>
      <c r="G398" s="0" t="s">
        <v>378</v>
      </c>
      <c r="H398" s="0">
        <v>12</v>
      </c>
      <c r="I398" s="0">
        <v>54</v>
      </c>
      <c r="J398" s="0">
        <v>2781</v>
      </c>
    </row>
    <row r="399">
      <c r="A399" s="0" t="s">
        <v>28</v>
      </c>
      <c r="B399" s="0" t="s">
        <v>30</v>
      </c>
      <c r="C399" s="0" t="s">
        <v>186</v>
      </c>
      <c r="D399" s="0" t="s">
        <v>297</v>
      </c>
      <c r="E399" s="0" t="s">
        <v>154</v>
      </c>
      <c r="F399" s="0" t="s">
        <v>519</v>
      </c>
      <c r="G399" s="0" t="s">
        <v>520</v>
      </c>
      <c r="H399" s="0">
        <v>12</v>
      </c>
      <c r="I399" s="0">
        <v>54</v>
      </c>
      <c r="J399" s="0">
        <v>2781</v>
      </c>
    </row>
    <row r="400">
      <c r="A400" s="0" t="s">
        <v>28</v>
      </c>
      <c r="B400" s="0" t="s">
        <v>30</v>
      </c>
      <c r="C400" s="0" t="s">
        <v>186</v>
      </c>
      <c r="D400" s="0" t="s">
        <v>297</v>
      </c>
      <c r="E400" s="0" t="s">
        <v>154</v>
      </c>
      <c r="F400" s="0" t="s">
        <v>521</v>
      </c>
      <c r="G400" s="0" t="s">
        <v>341</v>
      </c>
      <c r="H400" s="0">
        <v>12</v>
      </c>
      <c r="I400" s="0">
        <v>54</v>
      </c>
      <c r="J400" s="0">
        <v>2781</v>
      </c>
    </row>
    <row r="401">
      <c r="A401" s="0" t="s">
        <v>28</v>
      </c>
      <c r="B401" s="0" t="s">
        <v>30</v>
      </c>
      <c r="C401" s="0" t="s">
        <v>186</v>
      </c>
      <c r="D401" s="0" t="s">
        <v>297</v>
      </c>
      <c r="E401" s="0" t="s">
        <v>154</v>
      </c>
      <c r="F401" s="0" t="s">
        <v>522</v>
      </c>
      <c r="G401" s="0" t="s">
        <v>523</v>
      </c>
      <c r="H401" s="0">
        <v>12</v>
      </c>
      <c r="I401" s="0">
        <v>54</v>
      </c>
      <c r="J401" s="0">
        <v>2781</v>
      </c>
    </row>
    <row r="402">
      <c r="A402" s="0" t="s">
        <v>28</v>
      </c>
      <c r="B402" s="0" t="s">
        <v>30</v>
      </c>
      <c r="C402" s="0" t="s">
        <v>186</v>
      </c>
      <c r="D402" s="0" t="s">
        <v>297</v>
      </c>
      <c r="E402" s="0" t="s">
        <v>154</v>
      </c>
      <c r="F402" s="0" t="s">
        <v>524</v>
      </c>
      <c r="G402" s="0" t="s">
        <v>555</v>
      </c>
      <c r="H402" s="0">
        <v>12</v>
      </c>
      <c r="I402" s="0">
        <v>54</v>
      </c>
      <c r="J402" s="0">
        <v>2781</v>
      </c>
    </row>
    <row r="403">
      <c r="A403" s="0" t="s">
        <v>28</v>
      </c>
      <c r="B403" s="0" t="s">
        <v>30</v>
      </c>
      <c r="C403" s="0" t="s">
        <v>186</v>
      </c>
      <c r="D403" s="0" t="s">
        <v>297</v>
      </c>
      <c r="E403" s="0" t="s">
        <v>154</v>
      </c>
      <c r="F403" s="0" t="s">
        <v>526</v>
      </c>
      <c r="G403" s="0" t="s">
        <v>556</v>
      </c>
      <c r="H403" s="0">
        <v>12</v>
      </c>
      <c r="I403" s="0">
        <v>54</v>
      </c>
      <c r="J403" s="0">
        <v>2781</v>
      </c>
    </row>
    <row r="404">
      <c r="A404" s="0" t="s">
        <v>28</v>
      </c>
      <c r="B404" s="0" t="s">
        <v>30</v>
      </c>
      <c r="C404" s="0" t="s">
        <v>186</v>
      </c>
      <c r="D404" s="0" t="s">
        <v>297</v>
      </c>
      <c r="E404" s="0" t="s">
        <v>154</v>
      </c>
      <c r="F404" s="0" t="s">
        <v>528</v>
      </c>
      <c r="G404" s="0" t="s">
        <v>529</v>
      </c>
      <c r="H404" s="0">
        <v>12</v>
      </c>
      <c r="I404" s="0">
        <v>54</v>
      </c>
      <c r="J404" s="0">
        <v>2781</v>
      </c>
    </row>
    <row r="405">
      <c r="A405" s="0" t="s">
        <v>28</v>
      </c>
      <c r="B405" s="0" t="s">
        <v>30</v>
      </c>
      <c r="C405" s="0" t="s">
        <v>186</v>
      </c>
      <c r="D405" s="0" t="s">
        <v>297</v>
      </c>
      <c r="E405" s="0" t="s">
        <v>154</v>
      </c>
      <c r="F405" s="0" t="s">
        <v>530</v>
      </c>
      <c r="G405" s="0" t="s">
        <v>300</v>
      </c>
      <c r="H405" s="0">
        <v>12</v>
      </c>
      <c r="I405" s="0">
        <v>54</v>
      </c>
      <c r="J405" s="0">
        <v>2781</v>
      </c>
    </row>
    <row r="406">
      <c r="A406" s="0" t="s">
        <v>28</v>
      </c>
      <c r="B406" s="0" t="s">
        <v>30</v>
      </c>
      <c r="C406" s="0" t="s">
        <v>186</v>
      </c>
      <c r="D406" s="0" t="s">
        <v>297</v>
      </c>
      <c r="E406" s="0" t="s">
        <v>154</v>
      </c>
      <c r="F406" s="0" t="s">
        <v>531</v>
      </c>
      <c r="G406" s="0" t="s">
        <v>532</v>
      </c>
      <c r="H406" s="0">
        <v>12</v>
      </c>
      <c r="I406" s="0">
        <v>54</v>
      </c>
      <c r="J406" s="0">
        <v>2781</v>
      </c>
    </row>
    <row r="407">
      <c r="A407" s="0" t="s">
        <v>28</v>
      </c>
      <c r="B407" s="0" t="s">
        <v>30</v>
      </c>
      <c r="C407" s="0" t="s">
        <v>186</v>
      </c>
      <c r="D407" s="0" t="s">
        <v>297</v>
      </c>
      <c r="E407" s="0" t="s">
        <v>154</v>
      </c>
      <c r="F407" s="0" t="s">
        <v>336</v>
      </c>
      <c r="G407" s="0" t="s">
        <v>379</v>
      </c>
      <c r="H407" s="0">
        <v>12</v>
      </c>
      <c r="I407" s="0">
        <v>54</v>
      </c>
      <c r="J407" s="0">
        <v>2781</v>
      </c>
    </row>
    <row r="408">
      <c r="A408" s="0" t="s">
        <v>28</v>
      </c>
      <c r="B408" s="0" t="s">
        <v>30</v>
      </c>
      <c r="C408" s="0" t="s">
        <v>186</v>
      </c>
      <c r="D408" s="0" t="s">
        <v>297</v>
      </c>
      <c r="E408" s="0" t="s">
        <v>154</v>
      </c>
      <c r="F408" s="0" t="s">
        <v>338</v>
      </c>
      <c r="G408" s="0" t="s">
        <v>380</v>
      </c>
      <c r="H408" s="0">
        <v>12</v>
      </c>
      <c r="I408" s="0">
        <v>54</v>
      </c>
      <c r="J408" s="0">
        <v>2781</v>
      </c>
    </row>
    <row r="409">
      <c r="A409" s="0" t="s">
        <v>28</v>
      </c>
      <c r="B409" s="0" t="s">
        <v>30</v>
      </c>
      <c r="C409" s="0" t="s">
        <v>186</v>
      </c>
      <c r="D409" s="0" t="s">
        <v>297</v>
      </c>
      <c r="E409" s="0" t="s">
        <v>154</v>
      </c>
      <c r="F409" s="0" t="s">
        <v>381</v>
      </c>
      <c r="G409" s="0" t="s">
        <v>382</v>
      </c>
      <c r="H409" s="0">
        <v>12</v>
      </c>
      <c r="I409" s="0">
        <v>54</v>
      </c>
      <c r="J409" s="0">
        <v>2781</v>
      </c>
    </row>
    <row r="410">
      <c r="A410" s="0" t="s">
        <v>28</v>
      </c>
      <c r="B410" s="0" t="s">
        <v>30</v>
      </c>
      <c r="C410" s="0" t="s">
        <v>186</v>
      </c>
      <c r="D410" s="0" t="s">
        <v>297</v>
      </c>
      <c r="E410" s="0" t="s">
        <v>154</v>
      </c>
      <c r="F410" s="0" t="s">
        <v>340</v>
      </c>
      <c r="G410" s="0" t="s">
        <v>341</v>
      </c>
      <c r="H410" s="0">
        <v>12</v>
      </c>
      <c r="I410" s="0">
        <v>54</v>
      </c>
      <c r="J410" s="0">
        <v>2781</v>
      </c>
    </row>
    <row r="411">
      <c r="A411" s="0" t="s">
        <v>28</v>
      </c>
      <c r="B411" s="0" t="s">
        <v>30</v>
      </c>
      <c r="C411" s="0" t="s">
        <v>186</v>
      </c>
      <c r="D411" s="0" t="s">
        <v>297</v>
      </c>
      <c r="E411" s="0" t="s">
        <v>154</v>
      </c>
      <c r="F411" s="0" t="s">
        <v>342</v>
      </c>
      <c r="G411" s="0" t="s">
        <v>341</v>
      </c>
      <c r="H411" s="0">
        <v>12</v>
      </c>
      <c r="I411" s="0">
        <v>54</v>
      </c>
      <c r="J411" s="0">
        <v>2781</v>
      </c>
    </row>
    <row r="412">
      <c r="A412" s="0" t="s">
        <v>28</v>
      </c>
      <c r="B412" s="0" t="s">
        <v>30</v>
      </c>
      <c r="C412" s="0" t="s">
        <v>186</v>
      </c>
      <c r="D412" s="0" t="s">
        <v>297</v>
      </c>
      <c r="E412" s="0" t="s">
        <v>154</v>
      </c>
      <c r="F412" s="0" t="s">
        <v>343</v>
      </c>
      <c r="G412" s="0" t="s">
        <v>344</v>
      </c>
      <c r="H412" s="0">
        <v>12</v>
      </c>
      <c r="I412" s="0">
        <v>54</v>
      </c>
      <c r="J412" s="0">
        <v>2781</v>
      </c>
    </row>
    <row r="413">
      <c r="A413" s="0" t="s">
        <v>28</v>
      </c>
      <c r="B413" s="0" t="s">
        <v>30</v>
      </c>
      <c r="C413" s="0" t="s">
        <v>186</v>
      </c>
      <c r="D413" s="0" t="s">
        <v>297</v>
      </c>
      <c r="E413" s="0" t="s">
        <v>154</v>
      </c>
      <c r="F413" s="0" t="s">
        <v>345</v>
      </c>
      <c r="G413" s="0" t="s">
        <v>379</v>
      </c>
      <c r="H413" s="0">
        <v>12</v>
      </c>
      <c r="I413" s="0">
        <v>54</v>
      </c>
      <c r="J413" s="0">
        <v>2781</v>
      </c>
    </row>
    <row r="414">
      <c r="A414" s="0" t="s">
        <v>28</v>
      </c>
      <c r="B414" s="0" t="s">
        <v>30</v>
      </c>
      <c r="C414" s="0" t="s">
        <v>188</v>
      </c>
      <c r="D414" s="0" t="s">
        <v>302</v>
      </c>
      <c r="E414" s="0" t="s">
        <v>154</v>
      </c>
      <c r="F414" s="0" t="s">
        <v>327</v>
      </c>
      <c r="G414" s="0" t="s">
        <v>30</v>
      </c>
      <c r="H414" s="0">
        <v>12</v>
      </c>
      <c r="I414" s="0">
        <v>53</v>
      </c>
      <c r="J414" s="0">
        <v>2780</v>
      </c>
    </row>
    <row r="415">
      <c r="A415" s="0" t="s">
        <v>28</v>
      </c>
      <c r="B415" s="0" t="s">
        <v>30</v>
      </c>
      <c r="C415" s="0" t="s">
        <v>188</v>
      </c>
      <c r="D415" s="0" t="s">
        <v>302</v>
      </c>
      <c r="E415" s="0" t="s">
        <v>154</v>
      </c>
      <c r="F415" s="0" t="s">
        <v>328</v>
      </c>
      <c r="G415" s="0" t="s">
        <v>302</v>
      </c>
      <c r="H415" s="0">
        <v>12</v>
      </c>
      <c r="I415" s="0">
        <v>53</v>
      </c>
      <c r="J415" s="0">
        <v>2780</v>
      </c>
    </row>
    <row r="416">
      <c r="A416" s="0" t="s">
        <v>28</v>
      </c>
      <c r="B416" s="0" t="s">
        <v>30</v>
      </c>
      <c r="C416" s="0" t="s">
        <v>188</v>
      </c>
      <c r="D416" s="0" t="s">
        <v>302</v>
      </c>
      <c r="E416" s="0" t="s">
        <v>154</v>
      </c>
      <c r="F416" s="0" t="s">
        <v>329</v>
      </c>
      <c r="G416" s="0" t="s">
        <v>188</v>
      </c>
      <c r="H416" s="0">
        <v>12</v>
      </c>
      <c r="I416" s="0">
        <v>53</v>
      </c>
      <c r="J416" s="0">
        <v>2780</v>
      </c>
    </row>
    <row r="417">
      <c r="A417" s="0" t="s">
        <v>28</v>
      </c>
      <c r="B417" s="0" t="s">
        <v>30</v>
      </c>
      <c r="C417" s="0" t="s">
        <v>188</v>
      </c>
      <c r="D417" s="0" t="s">
        <v>302</v>
      </c>
      <c r="E417" s="0" t="s">
        <v>154</v>
      </c>
      <c r="F417" s="0" t="s">
        <v>444</v>
      </c>
      <c r="G417" s="0" t="s">
        <v>551</v>
      </c>
      <c r="H417" s="0">
        <v>12</v>
      </c>
      <c r="I417" s="0">
        <v>53</v>
      </c>
      <c r="J417" s="0">
        <v>2780</v>
      </c>
    </row>
    <row r="418">
      <c r="A418" s="0" t="s">
        <v>28</v>
      </c>
      <c r="B418" s="0" t="s">
        <v>30</v>
      </c>
      <c r="C418" s="0" t="s">
        <v>188</v>
      </c>
      <c r="D418" s="0" t="s">
        <v>302</v>
      </c>
      <c r="E418" s="0" t="s">
        <v>154</v>
      </c>
      <c r="F418" s="0" t="s">
        <v>446</v>
      </c>
      <c r="G418" s="0" t="s">
        <v>341</v>
      </c>
      <c r="H418" s="0">
        <v>12</v>
      </c>
      <c r="I418" s="0">
        <v>53</v>
      </c>
      <c r="J418" s="0">
        <v>2780</v>
      </c>
    </row>
    <row r="419">
      <c r="A419" s="0" t="s">
        <v>28</v>
      </c>
      <c r="B419" s="0" t="s">
        <v>30</v>
      </c>
      <c r="C419" s="0" t="s">
        <v>188</v>
      </c>
      <c r="D419" s="0" t="s">
        <v>302</v>
      </c>
      <c r="E419" s="0" t="s">
        <v>154</v>
      </c>
      <c r="F419" s="0" t="s">
        <v>447</v>
      </c>
      <c r="G419" s="0" t="s">
        <v>448</v>
      </c>
      <c r="H419" s="0">
        <v>12</v>
      </c>
      <c r="I419" s="0">
        <v>53</v>
      </c>
      <c r="J419" s="0">
        <v>2780</v>
      </c>
    </row>
    <row r="420">
      <c r="A420" s="0" t="s">
        <v>28</v>
      </c>
      <c r="B420" s="0" t="s">
        <v>30</v>
      </c>
      <c r="C420" s="0" t="s">
        <v>188</v>
      </c>
      <c r="D420" s="0" t="s">
        <v>302</v>
      </c>
      <c r="E420" s="0" t="s">
        <v>154</v>
      </c>
      <c r="F420" s="0" t="s">
        <v>449</v>
      </c>
      <c r="G420" s="0" t="s">
        <v>450</v>
      </c>
      <c r="H420" s="0">
        <v>12</v>
      </c>
      <c r="I420" s="0">
        <v>53</v>
      </c>
      <c r="J420" s="0">
        <v>2780</v>
      </c>
    </row>
    <row r="421">
      <c r="A421" s="0" t="s">
        <v>28</v>
      </c>
      <c r="B421" s="0" t="s">
        <v>30</v>
      </c>
      <c r="C421" s="0" t="s">
        <v>188</v>
      </c>
      <c r="D421" s="0" t="s">
        <v>302</v>
      </c>
      <c r="E421" s="0" t="s">
        <v>154</v>
      </c>
      <c r="F421" s="0" t="s">
        <v>451</v>
      </c>
      <c r="G421" s="0" t="s">
        <v>452</v>
      </c>
      <c r="H421" s="0">
        <v>12</v>
      </c>
      <c r="I421" s="0">
        <v>53</v>
      </c>
      <c r="J421" s="0">
        <v>2780</v>
      </c>
    </row>
    <row r="422">
      <c r="A422" s="0" t="s">
        <v>28</v>
      </c>
      <c r="B422" s="0" t="s">
        <v>30</v>
      </c>
      <c r="C422" s="0" t="s">
        <v>188</v>
      </c>
      <c r="D422" s="0" t="s">
        <v>302</v>
      </c>
      <c r="E422" s="0" t="s">
        <v>154</v>
      </c>
      <c r="F422" s="0" t="s">
        <v>453</v>
      </c>
      <c r="G422" s="0" t="s">
        <v>454</v>
      </c>
      <c r="H422" s="0">
        <v>12</v>
      </c>
      <c r="I422" s="0">
        <v>53</v>
      </c>
      <c r="J422" s="0">
        <v>2780</v>
      </c>
    </row>
    <row r="423">
      <c r="A423" s="0" t="s">
        <v>28</v>
      </c>
      <c r="B423" s="0" t="s">
        <v>30</v>
      </c>
      <c r="C423" s="0" t="s">
        <v>188</v>
      </c>
      <c r="D423" s="0" t="s">
        <v>302</v>
      </c>
      <c r="E423" s="0" t="s">
        <v>154</v>
      </c>
      <c r="F423" s="0" t="s">
        <v>455</v>
      </c>
      <c r="G423" s="0" t="s">
        <v>456</v>
      </c>
      <c r="H423" s="0">
        <v>12</v>
      </c>
      <c r="I423" s="0">
        <v>53</v>
      </c>
      <c r="J423" s="0">
        <v>2780</v>
      </c>
    </row>
    <row r="424">
      <c r="A424" s="0" t="s">
        <v>28</v>
      </c>
      <c r="B424" s="0" t="s">
        <v>30</v>
      </c>
      <c r="C424" s="0" t="s">
        <v>188</v>
      </c>
      <c r="D424" s="0" t="s">
        <v>302</v>
      </c>
      <c r="E424" s="0" t="s">
        <v>154</v>
      </c>
      <c r="F424" s="0" t="s">
        <v>457</v>
      </c>
      <c r="G424" s="0" t="s">
        <v>458</v>
      </c>
      <c r="H424" s="0">
        <v>12</v>
      </c>
      <c r="I424" s="0">
        <v>53</v>
      </c>
      <c r="J424" s="0">
        <v>2780</v>
      </c>
    </row>
    <row r="425">
      <c r="A425" s="0" t="s">
        <v>28</v>
      </c>
      <c r="B425" s="0" t="s">
        <v>30</v>
      </c>
      <c r="C425" s="0" t="s">
        <v>188</v>
      </c>
      <c r="D425" s="0" t="s">
        <v>302</v>
      </c>
      <c r="E425" s="0" t="s">
        <v>154</v>
      </c>
      <c r="F425" s="0" t="s">
        <v>459</v>
      </c>
      <c r="G425" s="0" t="s">
        <v>303</v>
      </c>
      <c r="H425" s="0">
        <v>12</v>
      </c>
      <c r="I425" s="0">
        <v>53</v>
      </c>
      <c r="J425" s="0">
        <v>2780</v>
      </c>
    </row>
    <row r="426">
      <c r="A426" s="0" t="s">
        <v>28</v>
      </c>
      <c r="B426" s="0" t="s">
        <v>30</v>
      </c>
      <c r="C426" s="0" t="s">
        <v>188</v>
      </c>
      <c r="D426" s="0" t="s">
        <v>302</v>
      </c>
      <c r="E426" s="0" t="s">
        <v>154</v>
      </c>
      <c r="F426" s="0" t="s">
        <v>460</v>
      </c>
      <c r="G426" s="0" t="s">
        <v>268</v>
      </c>
      <c r="H426" s="0">
        <v>12</v>
      </c>
      <c r="I426" s="0">
        <v>53</v>
      </c>
      <c r="J426" s="0">
        <v>2780</v>
      </c>
    </row>
    <row r="427">
      <c r="A427" s="0" t="s">
        <v>28</v>
      </c>
      <c r="B427" s="0" t="s">
        <v>30</v>
      </c>
      <c r="C427" s="0" t="s">
        <v>188</v>
      </c>
      <c r="D427" s="0" t="s">
        <v>302</v>
      </c>
      <c r="E427" s="0" t="s">
        <v>154</v>
      </c>
      <c r="F427" s="0" t="s">
        <v>403</v>
      </c>
      <c r="G427" s="0" t="s">
        <v>461</v>
      </c>
      <c r="H427" s="0">
        <v>12</v>
      </c>
      <c r="I427" s="0">
        <v>53</v>
      </c>
      <c r="J427" s="0">
        <v>2780</v>
      </c>
    </row>
    <row r="428">
      <c r="A428" s="0" t="s">
        <v>28</v>
      </c>
      <c r="B428" s="0" t="s">
        <v>30</v>
      </c>
      <c r="C428" s="0" t="s">
        <v>188</v>
      </c>
      <c r="D428" s="0" t="s">
        <v>302</v>
      </c>
      <c r="E428" s="0" t="s">
        <v>154</v>
      </c>
      <c r="F428" s="0" t="s">
        <v>462</v>
      </c>
      <c r="G428" s="0" t="s">
        <v>463</v>
      </c>
      <c r="H428" s="0">
        <v>12</v>
      </c>
      <c r="I428" s="0">
        <v>53</v>
      </c>
      <c r="J428" s="0">
        <v>2780</v>
      </c>
    </row>
    <row r="429">
      <c r="A429" s="0" t="s">
        <v>28</v>
      </c>
      <c r="B429" s="0" t="s">
        <v>30</v>
      </c>
      <c r="C429" s="0" t="s">
        <v>188</v>
      </c>
      <c r="D429" s="0" t="s">
        <v>302</v>
      </c>
      <c r="E429" s="0" t="s">
        <v>154</v>
      </c>
      <c r="F429" s="0" t="s">
        <v>464</v>
      </c>
      <c r="G429" s="0" t="s">
        <v>269</v>
      </c>
      <c r="H429" s="0">
        <v>12</v>
      </c>
      <c r="I429" s="0">
        <v>53</v>
      </c>
      <c r="J429" s="0">
        <v>2780</v>
      </c>
    </row>
    <row r="430">
      <c r="A430" s="0" t="s">
        <v>28</v>
      </c>
      <c r="B430" s="0" t="s">
        <v>30</v>
      </c>
      <c r="C430" s="0" t="s">
        <v>188</v>
      </c>
      <c r="D430" s="0" t="s">
        <v>302</v>
      </c>
      <c r="E430" s="0" t="s">
        <v>154</v>
      </c>
      <c r="F430" s="0" t="s">
        <v>427</v>
      </c>
      <c r="G430" s="0" t="s">
        <v>465</v>
      </c>
      <c r="H430" s="0">
        <v>12</v>
      </c>
      <c r="I430" s="0">
        <v>53</v>
      </c>
      <c r="J430" s="0">
        <v>2780</v>
      </c>
    </row>
    <row r="431">
      <c r="A431" s="0" t="s">
        <v>28</v>
      </c>
      <c r="B431" s="0" t="s">
        <v>30</v>
      </c>
      <c r="C431" s="0" t="s">
        <v>188</v>
      </c>
      <c r="D431" s="0" t="s">
        <v>302</v>
      </c>
      <c r="E431" s="0" t="s">
        <v>154</v>
      </c>
      <c r="F431" s="0" t="s">
        <v>429</v>
      </c>
      <c r="G431" s="0" t="s">
        <v>552</v>
      </c>
      <c r="H431" s="0">
        <v>12</v>
      </c>
      <c r="I431" s="0">
        <v>53</v>
      </c>
      <c r="J431" s="0">
        <v>2780</v>
      </c>
    </row>
    <row r="432">
      <c r="A432" s="0" t="s">
        <v>28</v>
      </c>
      <c r="B432" s="0" t="s">
        <v>30</v>
      </c>
      <c r="C432" s="0" t="s">
        <v>188</v>
      </c>
      <c r="D432" s="0" t="s">
        <v>302</v>
      </c>
      <c r="E432" s="0" t="s">
        <v>154</v>
      </c>
      <c r="F432" s="0" t="s">
        <v>467</v>
      </c>
      <c r="G432" s="0" t="s">
        <v>270</v>
      </c>
      <c r="H432" s="0">
        <v>12</v>
      </c>
      <c r="I432" s="0">
        <v>53</v>
      </c>
      <c r="J432" s="0">
        <v>2780</v>
      </c>
    </row>
    <row r="433">
      <c r="A433" s="0" t="s">
        <v>28</v>
      </c>
      <c r="B433" s="0" t="s">
        <v>30</v>
      </c>
      <c r="C433" s="0" t="s">
        <v>188</v>
      </c>
      <c r="D433" s="0" t="s">
        <v>302</v>
      </c>
      <c r="E433" s="0" t="s">
        <v>154</v>
      </c>
      <c r="F433" s="0" t="s">
        <v>468</v>
      </c>
      <c r="G433" s="0" t="s">
        <v>271</v>
      </c>
      <c r="H433" s="0">
        <v>12</v>
      </c>
      <c r="I433" s="0">
        <v>53</v>
      </c>
      <c r="J433" s="0">
        <v>2780</v>
      </c>
    </row>
    <row r="434">
      <c r="A434" s="0" t="s">
        <v>28</v>
      </c>
      <c r="B434" s="0" t="s">
        <v>30</v>
      </c>
      <c r="C434" s="0" t="s">
        <v>188</v>
      </c>
      <c r="D434" s="0" t="s">
        <v>302</v>
      </c>
      <c r="E434" s="0" t="s">
        <v>154</v>
      </c>
      <c r="F434" s="0" t="s">
        <v>469</v>
      </c>
      <c r="G434" s="0" t="s">
        <v>470</v>
      </c>
      <c r="H434" s="0">
        <v>12</v>
      </c>
      <c r="I434" s="0">
        <v>53</v>
      </c>
      <c r="J434" s="0">
        <v>2780</v>
      </c>
    </row>
    <row r="435">
      <c r="A435" s="0" t="s">
        <v>28</v>
      </c>
      <c r="B435" s="0" t="s">
        <v>30</v>
      </c>
      <c r="C435" s="0" t="s">
        <v>188</v>
      </c>
      <c r="D435" s="0" t="s">
        <v>302</v>
      </c>
      <c r="E435" s="0" t="s">
        <v>154</v>
      </c>
      <c r="F435" s="0" t="s">
        <v>471</v>
      </c>
      <c r="G435" s="0" t="s">
        <v>272</v>
      </c>
      <c r="H435" s="0">
        <v>12</v>
      </c>
      <c r="I435" s="0">
        <v>53</v>
      </c>
      <c r="J435" s="0">
        <v>2780</v>
      </c>
    </row>
    <row r="436">
      <c r="A436" s="0" t="s">
        <v>28</v>
      </c>
      <c r="B436" s="0" t="s">
        <v>30</v>
      </c>
      <c r="C436" s="0" t="s">
        <v>188</v>
      </c>
      <c r="D436" s="0" t="s">
        <v>302</v>
      </c>
      <c r="E436" s="0" t="s">
        <v>154</v>
      </c>
      <c r="F436" s="0" t="s">
        <v>472</v>
      </c>
      <c r="G436" s="0" t="s">
        <v>473</v>
      </c>
      <c r="H436" s="0">
        <v>12</v>
      </c>
      <c r="I436" s="0">
        <v>53</v>
      </c>
      <c r="J436" s="0">
        <v>2780</v>
      </c>
    </row>
    <row r="437">
      <c r="A437" s="0" t="s">
        <v>28</v>
      </c>
      <c r="B437" s="0" t="s">
        <v>30</v>
      </c>
      <c r="C437" s="0" t="s">
        <v>188</v>
      </c>
      <c r="D437" s="0" t="s">
        <v>302</v>
      </c>
      <c r="E437" s="0" t="s">
        <v>154</v>
      </c>
      <c r="F437" s="0" t="s">
        <v>331</v>
      </c>
      <c r="G437" s="0" t="s">
        <v>332</v>
      </c>
      <c r="H437" s="0">
        <v>12</v>
      </c>
      <c r="I437" s="0">
        <v>53</v>
      </c>
      <c r="J437" s="0">
        <v>2780</v>
      </c>
    </row>
    <row r="438">
      <c r="A438" s="0" t="s">
        <v>28</v>
      </c>
      <c r="B438" s="0" t="s">
        <v>30</v>
      </c>
      <c r="C438" s="0" t="s">
        <v>188</v>
      </c>
      <c r="D438" s="0" t="s">
        <v>302</v>
      </c>
      <c r="E438" s="0" t="s">
        <v>154</v>
      </c>
      <c r="F438" s="0" t="s">
        <v>474</v>
      </c>
      <c r="G438" s="0" t="s">
        <v>272</v>
      </c>
      <c r="H438" s="0">
        <v>12</v>
      </c>
      <c r="I438" s="0">
        <v>53</v>
      </c>
      <c r="J438" s="0">
        <v>2780</v>
      </c>
    </row>
    <row r="439">
      <c r="A439" s="0" t="s">
        <v>28</v>
      </c>
      <c r="B439" s="0" t="s">
        <v>30</v>
      </c>
      <c r="C439" s="0" t="s">
        <v>188</v>
      </c>
      <c r="D439" s="0" t="s">
        <v>302</v>
      </c>
      <c r="E439" s="0" t="s">
        <v>154</v>
      </c>
      <c r="F439" s="0" t="s">
        <v>475</v>
      </c>
      <c r="G439" s="0" t="s">
        <v>476</v>
      </c>
      <c r="H439" s="0">
        <v>12</v>
      </c>
      <c r="I439" s="0">
        <v>53</v>
      </c>
      <c r="J439" s="0">
        <v>2780</v>
      </c>
    </row>
    <row r="440">
      <c r="A440" s="0" t="s">
        <v>28</v>
      </c>
      <c r="B440" s="0" t="s">
        <v>30</v>
      </c>
      <c r="C440" s="0" t="s">
        <v>188</v>
      </c>
      <c r="D440" s="0" t="s">
        <v>302</v>
      </c>
      <c r="E440" s="0" t="s">
        <v>154</v>
      </c>
      <c r="F440" s="0" t="s">
        <v>477</v>
      </c>
      <c r="G440" s="0" t="s">
        <v>478</v>
      </c>
      <c r="H440" s="0">
        <v>12</v>
      </c>
      <c r="I440" s="0">
        <v>53</v>
      </c>
      <c r="J440" s="0">
        <v>2780</v>
      </c>
    </row>
    <row r="441">
      <c r="A441" s="0" t="s">
        <v>28</v>
      </c>
      <c r="B441" s="0" t="s">
        <v>30</v>
      </c>
      <c r="C441" s="0" t="s">
        <v>188</v>
      </c>
      <c r="D441" s="0" t="s">
        <v>302</v>
      </c>
      <c r="E441" s="0" t="s">
        <v>154</v>
      </c>
      <c r="F441" s="0" t="s">
        <v>479</v>
      </c>
      <c r="G441" s="0" t="s">
        <v>273</v>
      </c>
      <c r="H441" s="0">
        <v>12</v>
      </c>
      <c r="I441" s="0">
        <v>53</v>
      </c>
      <c r="J441" s="0">
        <v>2780</v>
      </c>
    </row>
    <row r="442">
      <c r="A442" s="0" t="s">
        <v>28</v>
      </c>
      <c r="B442" s="0" t="s">
        <v>30</v>
      </c>
      <c r="C442" s="0" t="s">
        <v>188</v>
      </c>
      <c r="D442" s="0" t="s">
        <v>302</v>
      </c>
      <c r="E442" s="0" t="s">
        <v>154</v>
      </c>
      <c r="F442" s="0" t="s">
        <v>480</v>
      </c>
      <c r="G442" s="0" t="s">
        <v>274</v>
      </c>
      <c r="H442" s="0">
        <v>12</v>
      </c>
      <c r="I442" s="0">
        <v>53</v>
      </c>
      <c r="J442" s="0">
        <v>2780</v>
      </c>
    </row>
    <row r="443">
      <c r="A443" s="0" t="s">
        <v>28</v>
      </c>
      <c r="B443" s="0" t="s">
        <v>30</v>
      </c>
      <c r="C443" s="0" t="s">
        <v>188</v>
      </c>
      <c r="D443" s="0" t="s">
        <v>302</v>
      </c>
      <c r="E443" s="0" t="s">
        <v>154</v>
      </c>
      <c r="F443" s="0" t="s">
        <v>481</v>
      </c>
      <c r="G443" s="0" t="s">
        <v>275</v>
      </c>
      <c r="H443" s="0">
        <v>12</v>
      </c>
      <c r="I443" s="0">
        <v>53</v>
      </c>
      <c r="J443" s="0">
        <v>2780</v>
      </c>
    </row>
    <row r="444">
      <c r="A444" s="0" t="s">
        <v>28</v>
      </c>
      <c r="B444" s="0" t="s">
        <v>30</v>
      </c>
      <c r="C444" s="0" t="s">
        <v>188</v>
      </c>
      <c r="D444" s="0" t="s">
        <v>302</v>
      </c>
      <c r="E444" s="0" t="s">
        <v>154</v>
      </c>
      <c r="F444" s="0" t="s">
        <v>482</v>
      </c>
      <c r="G444" s="0" t="s">
        <v>483</v>
      </c>
      <c r="H444" s="0">
        <v>12</v>
      </c>
      <c r="I444" s="0">
        <v>53</v>
      </c>
      <c r="J444" s="0">
        <v>2780</v>
      </c>
    </row>
    <row r="445">
      <c r="A445" s="0" t="s">
        <v>28</v>
      </c>
      <c r="B445" s="0" t="s">
        <v>30</v>
      </c>
      <c r="C445" s="0" t="s">
        <v>188</v>
      </c>
      <c r="D445" s="0" t="s">
        <v>302</v>
      </c>
      <c r="E445" s="0" t="s">
        <v>154</v>
      </c>
      <c r="F445" s="0" t="s">
        <v>484</v>
      </c>
      <c r="G445" s="0" t="s">
        <v>272</v>
      </c>
      <c r="H445" s="0">
        <v>12</v>
      </c>
      <c r="I445" s="0">
        <v>53</v>
      </c>
      <c r="J445" s="0">
        <v>2780</v>
      </c>
    </row>
    <row r="446">
      <c r="A446" s="0" t="s">
        <v>28</v>
      </c>
      <c r="B446" s="0" t="s">
        <v>30</v>
      </c>
      <c r="C446" s="0" t="s">
        <v>188</v>
      </c>
      <c r="D446" s="0" t="s">
        <v>302</v>
      </c>
      <c r="E446" s="0" t="s">
        <v>154</v>
      </c>
      <c r="F446" s="0" t="s">
        <v>485</v>
      </c>
      <c r="G446" s="0" t="s">
        <v>473</v>
      </c>
      <c r="H446" s="0">
        <v>12</v>
      </c>
      <c r="I446" s="0">
        <v>53</v>
      </c>
      <c r="J446" s="0">
        <v>2780</v>
      </c>
    </row>
    <row r="447">
      <c r="A447" s="0" t="s">
        <v>28</v>
      </c>
      <c r="B447" s="0" t="s">
        <v>30</v>
      </c>
      <c r="C447" s="0" t="s">
        <v>188</v>
      </c>
      <c r="D447" s="0" t="s">
        <v>302</v>
      </c>
      <c r="E447" s="0" t="s">
        <v>154</v>
      </c>
      <c r="F447" s="0" t="s">
        <v>486</v>
      </c>
      <c r="G447" s="0" t="s">
        <v>272</v>
      </c>
      <c r="H447" s="0">
        <v>12</v>
      </c>
      <c r="I447" s="0">
        <v>53</v>
      </c>
      <c r="J447" s="0">
        <v>2780</v>
      </c>
    </row>
    <row r="448">
      <c r="A448" s="0" t="s">
        <v>28</v>
      </c>
      <c r="B448" s="0" t="s">
        <v>30</v>
      </c>
      <c r="C448" s="0" t="s">
        <v>188</v>
      </c>
      <c r="D448" s="0" t="s">
        <v>302</v>
      </c>
      <c r="E448" s="0" t="s">
        <v>154</v>
      </c>
      <c r="F448" s="0" t="s">
        <v>487</v>
      </c>
      <c r="G448" s="0" t="s">
        <v>276</v>
      </c>
      <c r="H448" s="0">
        <v>12</v>
      </c>
      <c r="I448" s="0">
        <v>53</v>
      </c>
      <c r="J448" s="0">
        <v>2780</v>
      </c>
    </row>
    <row r="449">
      <c r="A449" s="0" t="s">
        <v>28</v>
      </c>
      <c r="B449" s="0" t="s">
        <v>30</v>
      </c>
      <c r="C449" s="0" t="s">
        <v>188</v>
      </c>
      <c r="D449" s="0" t="s">
        <v>302</v>
      </c>
      <c r="E449" s="0" t="s">
        <v>154</v>
      </c>
      <c r="F449" s="0" t="s">
        <v>488</v>
      </c>
      <c r="G449" s="0" t="s">
        <v>489</v>
      </c>
      <c r="H449" s="0">
        <v>12</v>
      </c>
      <c r="I449" s="0">
        <v>53</v>
      </c>
      <c r="J449" s="0">
        <v>2780</v>
      </c>
    </row>
    <row r="450">
      <c r="A450" s="0" t="s">
        <v>28</v>
      </c>
      <c r="B450" s="0" t="s">
        <v>30</v>
      </c>
      <c r="C450" s="0" t="s">
        <v>188</v>
      </c>
      <c r="D450" s="0" t="s">
        <v>302</v>
      </c>
      <c r="E450" s="0" t="s">
        <v>154</v>
      </c>
      <c r="F450" s="0" t="s">
        <v>490</v>
      </c>
      <c r="G450" s="0" t="s">
        <v>491</v>
      </c>
      <c r="H450" s="0">
        <v>12</v>
      </c>
      <c r="I450" s="0">
        <v>53</v>
      </c>
      <c r="J450" s="0">
        <v>2780</v>
      </c>
    </row>
    <row r="451">
      <c r="A451" s="0" t="s">
        <v>28</v>
      </c>
      <c r="B451" s="0" t="s">
        <v>30</v>
      </c>
      <c r="C451" s="0" t="s">
        <v>188</v>
      </c>
      <c r="D451" s="0" t="s">
        <v>302</v>
      </c>
      <c r="E451" s="0" t="s">
        <v>154</v>
      </c>
      <c r="F451" s="0" t="s">
        <v>492</v>
      </c>
      <c r="G451" s="0" t="s">
        <v>493</v>
      </c>
      <c r="H451" s="0">
        <v>12</v>
      </c>
      <c r="I451" s="0">
        <v>53</v>
      </c>
      <c r="J451" s="0">
        <v>2780</v>
      </c>
    </row>
    <row r="452">
      <c r="A452" s="0" t="s">
        <v>28</v>
      </c>
      <c r="B452" s="0" t="s">
        <v>30</v>
      </c>
      <c r="C452" s="0" t="s">
        <v>188</v>
      </c>
      <c r="D452" s="0" t="s">
        <v>302</v>
      </c>
      <c r="E452" s="0" t="s">
        <v>154</v>
      </c>
      <c r="F452" s="0" t="s">
        <v>494</v>
      </c>
      <c r="G452" s="0" t="s">
        <v>277</v>
      </c>
      <c r="H452" s="0">
        <v>12</v>
      </c>
      <c r="I452" s="0">
        <v>53</v>
      </c>
      <c r="J452" s="0">
        <v>2780</v>
      </c>
    </row>
    <row r="453">
      <c r="A453" s="0" t="s">
        <v>28</v>
      </c>
      <c r="B453" s="0" t="s">
        <v>30</v>
      </c>
      <c r="C453" s="0" t="s">
        <v>188</v>
      </c>
      <c r="D453" s="0" t="s">
        <v>302</v>
      </c>
      <c r="E453" s="0" t="s">
        <v>154</v>
      </c>
      <c r="F453" s="0" t="s">
        <v>495</v>
      </c>
      <c r="G453" s="0" t="s">
        <v>257</v>
      </c>
      <c r="H453" s="0">
        <v>12</v>
      </c>
      <c r="I453" s="0">
        <v>53</v>
      </c>
      <c r="J453" s="0">
        <v>2780</v>
      </c>
    </row>
    <row r="454">
      <c r="A454" s="0" t="s">
        <v>28</v>
      </c>
      <c r="B454" s="0" t="s">
        <v>30</v>
      </c>
      <c r="C454" s="0" t="s">
        <v>188</v>
      </c>
      <c r="D454" s="0" t="s">
        <v>302</v>
      </c>
      <c r="E454" s="0" t="s">
        <v>154</v>
      </c>
      <c r="F454" s="0" t="s">
        <v>496</v>
      </c>
      <c r="G454" s="0" t="s">
        <v>286</v>
      </c>
      <c r="H454" s="0">
        <v>12</v>
      </c>
      <c r="I454" s="0">
        <v>53</v>
      </c>
      <c r="J454" s="0">
        <v>2780</v>
      </c>
    </row>
    <row r="455">
      <c r="A455" s="0" t="s">
        <v>28</v>
      </c>
      <c r="B455" s="0" t="s">
        <v>30</v>
      </c>
      <c r="C455" s="0" t="s">
        <v>188</v>
      </c>
      <c r="D455" s="0" t="s">
        <v>302</v>
      </c>
      <c r="E455" s="0" t="s">
        <v>154</v>
      </c>
      <c r="F455" s="0" t="s">
        <v>497</v>
      </c>
      <c r="G455" s="0" t="s">
        <v>498</v>
      </c>
      <c r="H455" s="0">
        <v>12</v>
      </c>
      <c r="I455" s="0">
        <v>53</v>
      </c>
      <c r="J455" s="0">
        <v>2780</v>
      </c>
    </row>
    <row r="456">
      <c r="A456" s="0" t="s">
        <v>28</v>
      </c>
      <c r="B456" s="0" t="s">
        <v>30</v>
      </c>
      <c r="C456" s="0" t="s">
        <v>188</v>
      </c>
      <c r="D456" s="0" t="s">
        <v>302</v>
      </c>
      <c r="E456" s="0" t="s">
        <v>154</v>
      </c>
      <c r="F456" s="0" t="s">
        <v>499</v>
      </c>
      <c r="G456" s="0" t="s">
        <v>557</v>
      </c>
      <c r="H456" s="0">
        <v>12</v>
      </c>
      <c r="I456" s="0">
        <v>53</v>
      </c>
      <c r="J456" s="0">
        <v>2780</v>
      </c>
    </row>
    <row r="457">
      <c r="A457" s="0" t="s">
        <v>28</v>
      </c>
      <c r="B457" s="0" t="s">
        <v>30</v>
      </c>
      <c r="C457" s="0" t="s">
        <v>188</v>
      </c>
      <c r="D457" s="0" t="s">
        <v>302</v>
      </c>
      <c r="E457" s="0" t="s">
        <v>154</v>
      </c>
      <c r="F457" s="0" t="s">
        <v>501</v>
      </c>
      <c r="G457" s="0" t="s">
        <v>502</v>
      </c>
      <c r="H457" s="0">
        <v>12</v>
      </c>
      <c r="I457" s="0">
        <v>53</v>
      </c>
      <c r="J457" s="0">
        <v>2780</v>
      </c>
    </row>
    <row r="458">
      <c r="A458" s="0" t="s">
        <v>28</v>
      </c>
      <c r="B458" s="0" t="s">
        <v>30</v>
      </c>
      <c r="C458" s="0" t="s">
        <v>188</v>
      </c>
      <c r="D458" s="0" t="s">
        <v>302</v>
      </c>
      <c r="E458" s="0" t="s">
        <v>154</v>
      </c>
      <c r="F458" s="0" t="s">
        <v>503</v>
      </c>
      <c r="G458" s="0" t="s">
        <v>504</v>
      </c>
      <c r="H458" s="0">
        <v>12</v>
      </c>
      <c r="I458" s="0">
        <v>53</v>
      </c>
      <c r="J458" s="0">
        <v>2780</v>
      </c>
    </row>
    <row r="459">
      <c r="A459" s="0" t="s">
        <v>28</v>
      </c>
      <c r="B459" s="0" t="s">
        <v>30</v>
      </c>
      <c r="C459" s="0" t="s">
        <v>188</v>
      </c>
      <c r="D459" s="0" t="s">
        <v>302</v>
      </c>
      <c r="E459" s="0" t="s">
        <v>154</v>
      </c>
      <c r="F459" s="0" t="s">
        <v>505</v>
      </c>
      <c r="G459" s="0" t="s">
        <v>506</v>
      </c>
      <c r="H459" s="0">
        <v>12</v>
      </c>
      <c r="I459" s="0">
        <v>53</v>
      </c>
      <c r="J459" s="0">
        <v>2780</v>
      </c>
    </row>
    <row r="460">
      <c r="A460" s="0" t="s">
        <v>28</v>
      </c>
      <c r="B460" s="0" t="s">
        <v>30</v>
      </c>
      <c r="C460" s="0" t="s">
        <v>188</v>
      </c>
      <c r="D460" s="0" t="s">
        <v>302</v>
      </c>
      <c r="E460" s="0" t="s">
        <v>154</v>
      </c>
      <c r="F460" s="0" t="s">
        <v>507</v>
      </c>
      <c r="G460" s="0" t="s">
        <v>508</v>
      </c>
      <c r="H460" s="0">
        <v>12</v>
      </c>
      <c r="I460" s="0">
        <v>53</v>
      </c>
      <c r="J460" s="0">
        <v>2780</v>
      </c>
    </row>
    <row r="461">
      <c r="A461" s="0" t="s">
        <v>28</v>
      </c>
      <c r="B461" s="0" t="s">
        <v>30</v>
      </c>
      <c r="C461" s="0" t="s">
        <v>188</v>
      </c>
      <c r="D461" s="0" t="s">
        <v>302</v>
      </c>
      <c r="E461" s="0" t="s">
        <v>154</v>
      </c>
      <c r="F461" s="0" t="s">
        <v>509</v>
      </c>
      <c r="G461" s="0" t="s">
        <v>114</v>
      </c>
      <c r="H461" s="0">
        <v>12</v>
      </c>
      <c r="I461" s="0">
        <v>53</v>
      </c>
      <c r="J461" s="0">
        <v>2780</v>
      </c>
    </row>
    <row r="462">
      <c r="A462" s="0" t="s">
        <v>28</v>
      </c>
      <c r="B462" s="0" t="s">
        <v>30</v>
      </c>
      <c r="C462" s="0" t="s">
        <v>188</v>
      </c>
      <c r="D462" s="0" t="s">
        <v>302</v>
      </c>
      <c r="E462" s="0" t="s">
        <v>154</v>
      </c>
      <c r="F462" s="0" t="s">
        <v>510</v>
      </c>
      <c r="G462" s="0" t="s">
        <v>511</v>
      </c>
      <c r="H462" s="0">
        <v>12</v>
      </c>
      <c r="I462" s="0">
        <v>53</v>
      </c>
      <c r="J462" s="0">
        <v>2780</v>
      </c>
    </row>
    <row r="463">
      <c r="A463" s="0" t="s">
        <v>28</v>
      </c>
      <c r="B463" s="0" t="s">
        <v>30</v>
      </c>
      <c r="C463" s="0" t="s">
        <v>188</v>
      </c>
      <c r="D463" s="0" t="s">
        <v>302</v>
      </c>
      <c r="E463" s="0" t="s">
        <v>154</v>
      </c>
      <c r="F463" s="0" t="s">
        <v>512</v>
      </c>
      <c r="G463" s="0" t="s">
        <v>558</v>
      </c>
      <c r="H463" s="0">
        <v>12</v>
      </c>
      <c r="I463" s="0">
        <v>53</v>
      </c>
      <c r="J463" s="0">
        <v>2780</v>
      </c>
    </row>
    <row r="464">
      <c r="A464" s="0" t="s">
        <v>28</v>
      </c>
      <c r="B464" s="0" t="s">
        <v>30</v>
      </c>
      <c r="C464" s="0" t="s">
        <v>188</v>
      </c>
      <c r="D464" s="0" t="s">
        <v>302</v>
      </c>
      <c r="E464" s="0" t="s">
        <v>154</v>
      </c>
      <c r="F464" s="0" t="s">
        <v>514</v>
      </c>
      <c r="G464" s="0" t="s">
        <v>515</v>
      </c>
      <c r="H464" s="0">
        <v>12</v>
      </c>
      <c r="I464" s="0">
        <v>53</v>
      </c>
      <c r="J464" s="0">
        <v>2780</v>
      </c>
    </row>
    <row r="465">
      <c r="A465" s="0" t="s">
        <v>28</v>
      </c>
      <c r="B465" s="0" t="s">
        <v>30</v>
      </c>
      <c r="C465" s="0" t="s">
        <v>188</v>
      </c>
      <c r="D465" s="0" t="s">
        <v>302</v>
      </c>
      <c r="E465" s="0" t="s">
        <v>154</v>
      </c>
      <c r="F465" s="0" t="s">
        <v>516</v>
      </c>
      <c r="G465" s="0" t="s">
        <v>450</v>
      </c>
      <c r="H465" s="0">
        <v>12</v>
      </c>
      <c r="I465" s="0">
        <v>53</v>
      </c>
      <c r="J465" s="0">
        <v>2780</v>
      </c>
    </row>
    <row r="466">
      <c r="A466" s="0" t="s">
        <v>28</v>
      </c>
      <c r="B466" s="0" t="s">
        <v>30</v>
      </c>
      <c r="C466" s="0" t="s">
        <v>188</v>
      </c>
      <c r="D466" s="0" t="s">
        <v>302</v>
      </c>
      <c r="E466" s="0" t="s">
        <v>154</v>
      </c>
      <c r="F466" s="0" t="s">
        <v>517</v>
      </c>
      <c r="G466" s="0" t="s">
        <v>518</v>
      </c>
      <c r="H466" s="0">
        <v>12</v>
      </c>
      <c r="I466" s="0">
        <v>53</v>
      </c>
      <c r="J466" s="0">
        <v>2780</v>
      </c>
    </row>
    <row r="467">
      <c r="A467" s="0" t="s">
        <v>28</v>
      </c>
      <c r="B467" s="0" t="s">
        <v>30</v>
      </c>
      <c r="C467" s="0" t="s">
        <v>188</v>
      </c>
      <c r="D467" s="0" t="s">
        <v>302</v>
      </c>
      <c r="E467" s="0" t="s">
        <v>154</v>
      </c>
      <c r="F467" s="0" t="s">
        <v>519</v>
      </c>
      <c r="G467" s="0" t="s">
        <v>520</v>
      </c>
      <c r="H467" s="0">
        <v>12</v>
      </c>
      <c r="I467" s="0">
        <v>53</v>
      </c>
      <c r="J467" s="0">
        <v>2780</v>
      </c>
    </row>
    <row r="468">
      <c r="A468" s="0" t="s">
        <v>28</v>
      </c>
      <c r="B468" s="0" t="s">
        <v>30</v>
      </c>
      <c r="C468" s="0" t="s">
        <v>188</v>
      </c>
      <c r="D468" s="0" t="s">
        <v>302</v>
      </c>
      <c r="E468" s="0" t="s">
        <v>154</v>
      </c>
      <c r="F468" s="0" t="s">
        <v>521</v>
      </c>
      <c r="G468" s="0" t="s">
        <v>341</v>
      </c>
      <c r="H468" s="0">
        <v>12</v>
      </c>
      <c r="I468" s="0">
        <v>53</v>
      </c>
      <c r="J468" s="0">
        <v>2780</v>
      </c>
    </row>
    <row r="469">
      <c r="A469" s="0" t="s">
        <v>28</v>
      </c>
      <c r="B469" s="0" t="s">
        <v>30</v>
      </c>
      <c r="C469" s="0" t="s">
        <v>188</v>
      </c>
      <c r="D469" s="0" t="s">
        <v>302</v>
      </c>
      <c r="E469" s="0" t="s">
        <v>154</v>
      </c>
      <c r="F469" s="0" t="s">
        <v>522</v>
      </c>
      <c r="G469" s="0" t="s">
        <v>523</v>
      </c>
      <c r="H469" s="0">
        <v>12</v>
      </c>
      <c r="I469" s="0">
        <v>53</v>
      </c>
      <c r="J469" s="0">
        <v>2780</v>
      </c>
    </row>
    <row r="470">
      <c r="A470" s="0" t="s">
        <v>28</v>
      </c>
      <c r="B470" s="0" t="s">
        <v>30</v>
      </c>
      <c r="C470" s="0" t="s">
        <v>188</v>
      </c>
      <c r="D470" s="0" t="s">
        <v>302</v>
      </c>
      <c r="E470" s="0" t="s">
        <v>154</v>
      </c>
      <c r="F470" s="0" t="s">
        <v>524</v>
      </c>
      <c r="G470" s="0" t="s">
        <v>559</v>
      </c>
      <c r="H470" s="0">
        <v>12</v>
      </c>
      <c r="I470" s="0">
        <v>53</v>
      </c>
      <c r="J470" s="0">
        <v>2780</v>
      </c>
    </row>
    <row r="471">
      <c r="A471" s="0" t="s">
        <v>28</v>
      </c>
      <c r="B471" s="0" t="s">
        <v>30</v>
      </c>
      <c r="C471" s="0" t="s">
        <v>188</v>
      </c>
      <c r="D471" s="0" t="s">
        <v>302</v>
      </c>
      <c r="E471" s="0" t="s">
        <v>154</v>
      </c>
      <c r="F471" s="0" t="s">
        <v>526</v>
      </c>
      <c r="G471" s="0" t="s">
        <v>556</v>
      </c>
      <c r="H471" s="0">
        <v>12</v>
      </c>
      <c r="I471" s="0">
        <v>53</v>
      </c>
      <c r="J471" s="0">
        <v>2780</v>
      </c>
    </row>
    <row r="472">
      <c r="A472" s="0" t="s">
        <v>28</v>
      </c>
      <c r="B472" s="0" t="s">
        <v>30</v>
      </c>
      <c r="C472" s="0" t="s">
        <v>188</v>
      </c>
      <c r="D472" s="0" t="s">
        <v>302</v>
      </c>
      <c r="E472" s="0" t="s">
        <v>154</v>
      </c>
      <c r="F472" s="0" t="s">
        <v>528</v>
      </c>
      <c r="G472" s="0" t="s">
        <v>529</v>
      </c>
      <c r="H472" s="0">
        <v>12</v>
      </c>
      <c r="I472" s="0">
        <v>53</v>
      </c>
      <c r="J472" s="0">
        <v>2780</v>
      </c>
    </row>
    <row r="473">
      <c r="A473" s="0" t="s">
        <v>28</v>
      </c>
      <c r="B473" s="0" t="s">
        <v>30</v>
      </c>
      <c r="C473" s="0" t="s">
        <v>188</v>
      </c>
      <c r="D473" s="0" t="s">
        <v>302</v>
      </c>
      <c r="E473" s="0" t="s">
        <v>154</v>
      </c>
      <c r="F473" s="0" t="s">
        <v>530</v>
      </c>
      <c r="G473" s="0" t="s">
        <v>300</v>
      </c>
      <c r="H473" s="0">
        <v>12</v>
      </c>
      <c r="I473" s="0">
        <v>53</v>
      </c>
      <c r="J473" s="0">
        <v>2780</v>
      </c>
    </row>
    <row r="474">
      <c r="A474" s="0" t="s">
        <v>28</v>
      </c>
      <c r="B474" s="0" t="s">
        <v>30</v>
      </c>
      <c r="C474" s="0" t="s">
        <v>188</v>
      </c>
      <c r="D474" s="0" t="s">
        <v>302</v>
      </c>
      <c r="E474" s="0" t="s">
        <v>154</v>
      </c>
      <c r="F474" s="0" t="s">
        <v>531</v>
      </c>
      <c r="G474" s="0" t="s">
        <v>532</v>
      </c>
      <c r="H474" s="0">
        <v>12</v>
      </c>
      <c r="I474" s="0">
        <v>53</v>
      </c>
      <c r="J474" s="0">
        <v>2780</v>
      </c>
    </row>
    <row r="475">
      <c r="A475" s="0" t="s">
        <v>28</v>
      </c>
      <c r="B475" s="0" t="s">
        <v>30</v>
      </c>
      <c r="C475" s="0" t="s">
        <v>188</v>
      </c>
      <c r="D475" s="0" t="s">
        <v>302</v>
      </c>
      <c r="E475" s="0" t="s">
        <v>154</v>
      </c>
      <c r="F475" s="0" t="s">
        <v>336</v>
      </c>
      <c r="G475" s="0" t="s">
        <v>379</v>
      </c>
      <c r="H475" s="0">
        <v>12</v>
      </c>
      <c r="I475" s="0">
        <v>53</v>
      </c>
      <c r="J475" s="0">
        <v>2780</v>
      </c>
    </row>
    <row r="476">
      <c r="A476" s="0" t="s">
        <v>28</v>
      </c>
      <c r="B476" s="0" t="s">
        <v>30</v>
      </c>
      <c r="C476" s="0" t="s">
        <v>188</v>
      </c>
      <c r="D476" s="0" t="s">
        <v>302</v>
      </c>
      <c r="E476" s="0" t="s">
        <v>154</v>
      </c>
      <c r="F476" s="0" t="s">
        <v>338</v>
      </c>
      <c r="G476" s="0" t="s">
        <v>391</v>
      </c>
      <c r="H476" s="0">
        <v>12</v>
      </c>
      <c r="I476" s="0">
        <v>53</v>
      </c>
      <c r="J476" s="0">
        <v>2780</v>
      </c>
    </row>
    <row r="477">
      <c r="A477" s="0" t="s">
        <v>28</v>
      </c>
      <c r="B477" s="0" t="s">
        <v>30</v>
      </c>
      <c r="C477" s="0" t="s">
        <v>188</v>
      </c>
      <c r="D477" s="0" t="s">
        <v>302</v>
      </c>
      <c r="E477" s="0" t="s">
        <v>154</v>
      </c>
      <c r="F477" s="0" t="s">
        <v>340</v>
      </c>
      <c r="G477" s="0" t="s">
        <v>341</v>
      </c>
      <c r="H477" s="0">
        <v>12</v>
      </c>
      <c r="I477" s="0">
        <v>53</v>
      </c>
      <c r="J477" s="0">
        <v>2780</v>
      </c>
    </row>
    <row r="478">
      <c r="A478" s="0" t="s">
        <v>28</v>
      </c>
      <c r="B478" s="0" t="s">
        <v>30</v>
      </c>
      <c r="C478" s="0" t="s">
        <v>188</v>
      </c>
      <c r="D478" s="0" t="s">
        <v>302</v>
      </c>
      <c r="E478" s="0" t="s">
        <v>154</v>
      </c>
      <c r="F478" s="0" t="s">
        <v>342</v>
      </c>
      <c r="G478" s="0" t="s">
        <v>341</v>
      </c>
      <c r="H478" s="0">
        <v>12</v>
      </c>
      <c r="I478" s="0">
        <v>53</v>
      </c>
      <c r="J478" s="0">
        <v>2780</v>
      </c>
    </row>
    <row r="479">
      <c r="A479" s="0" t="s">
        <v>28</v>
      </c>
      <c r="B479" s="0" t="s">
        <v>30</v>
      </c>
      <c r="C479" s="0" t="s">
        <v>188</v>
      </c>
      <c r="D479" s="0" t="s">
        <v>302</v>
      </c>
      <c r="E479" s="0" t="s">
        <v>154</v>
      </c>
      <c r="F479" s="0" t="s">
        <v>343</v>
      </c>
      <c r="G479" s="0" t="s">
        <v>344</v>
      </c>
      <c r="H479" s="0">
        <v>12</v>
      </c>
      <c r="I479" s="0">
        <v>53</v>
      </c>
      <c r="J479" s="0">
        <v>2780</v>
      </c>
    </row>
    <row r="480">
      <c r="A480" s="0" t="s">
        <v>28</v>
      </c>
      <c r="B480" s="0" t="s">
        <v>30</v>
      </c>
      <c r="C480" s="0" t="s">
        <v>188</v>
      </c>
      <c r="D480" s="0" t="s">
        <v>302</v>
      </c>
      <c r="E480" s="0" t="s">
        <v>154</v>
      </c>
      <c r="F480" s="0" t="s">
        <v>345</v>
      </c>
      <c r="G480" s="0" t="s">
        <v>379</v>
      </c>
      <c r="H480" s="0">
        <v>12</v>
      </c>
      <c r="I480" s="0">
        <v>53</v>
      </c>
      <c r="J480" s="0">
        <v>2780</v>
      </c>
    </row>
    <row r="481">
      <c r="A481" s="0" t="s">
        <v>28</v>
      </c>
      <c r="B481" s="0" t="s">
        <v>30</v>
      </c>
      <c r="C481" s="0" t="s">
        <v>190</v>
      </c>
      <c r="D481" s="0" t="s">
        <v>305</v>
      </c>
      <c r="E481" s="0" t="s">
        <v>154</v>
      </c>
      <c r="F481" s="0" t="s">
        <v>327</v>
      </c>
      <c r="G481" s="0" t="s">
        <v>30</v>
      </c>
      <c r="H481" s="0">
        <v>12</v>
      </c>
      <c r="I481" s="0">
        <v>56</v>
      </c>
      <c r="J481" s="0">
        <v>2782</v>
      </c>
    </row>
    <row r="482">
      <c r="A482" s="0" t="s">
        <v>28</v>
      </c>
      <c r="B482" s="0" t="s">
        <v>30</v>
      </c>
      <c r="C482" s="0" t="s">
        <v>190</v>
      </c>
      <c r="D482" s="0" t="s">
        <v>305</v>
      </c>
      <c r="E482" s="0" t="s">
        <v>154</v>
      </c>
      <c r="F482" s="0" t="s">
        <v>328</v>
      </c>
      <c r="G482" s="0" t="s">
        <v>305</v>
      </c>
      <c r="H482" s="0">
        <v>12</v>
      </c>
      <c r="I482" s="0">
        <v>56</v>
      </c>
      <c r="J482" s="0">
        <v>2782</v>
      </c>
    </row>
    <row r="483">
      <c r="A483" s="0" t="s">
        <v>28</v>
      </c>
      <c r="B483" s="0" t="s">
        <v>30</v>
      </c>
      <c r="C483" s="0" t="s">
        <v>190</v>
      </c>
      <c r="D483" s="0" t="s">
        <v>305</v>
      </c>
      <c r="E483" s="0" t="s">
        <v>154</v>
      </c>
      <c r="F483" s="0" t="s">
        <v>329</v>
      </c>
      <c r="G483" s="0" t="s">
        <v>190</v>
      </c>
      <c r="H483" s="0">
        <v>12</v>
      </c>
      <c r="I483" s="0">
        <v>56</v>
      </c>
      <c r="J483" s="0">
        <v>2782</v>
      </c>
    </row>
    <row r="484">
      <c r="A484" s="0" t="s">
        <v>28</v>
      </c>
      <c r="B484" s="0" t="s">
        <v>30</v>
      </c>
      <c r="C484" s="0" t="s">
        <v>190</v>
      </c>
      <c r="D484" s="0" t="s">
        <v>305</v>
      </c>
      <c r="E484" s="0" t="s">
        <v>154</v>
      </c>
      <c r="F484" s="0" t="s">
        <v>444</v>
      </c>
      <c r="G484" s="0" t="s">
        <v>551</v>
      </c>
      <c r="H484" s="0">
        <v>12</v>
      </c>
      <c r="I484" s="0">
        <v>56</v>
      </c>
      <c r="J484" s="0">
        <v>2782</v>
      </c>
    </row>
    <row r="485">
      <c r="A485" s="0" t="s">
        <v>28</v>
      </c>
      <c r="B485" s="0" t="s">
        <v>30</v>
      </c>
      <c r="C485" s="0" t="s">
        <v>190</v>
      </c>
      <c r="D485" s="0" t="s">
        <v>305</v>
      </c>
      <c r="E485" s="0" t="s">
        <v>154</v>
      </c>
      <c r="F485" s="0" t="s">
        <v>446</v>
      </c>
      <c r="G485" s="0" t="s">
        <v>341</v>
      </c>
      <c r="H485" s="0">
        <v>12</v>
      </c>
      <c r="I485" s="0">
        <v>56</v>
      </c>
      <c r="J485" s="0">
        <v>2782</v>
      </c>
    </row>
    <row r="486">
      <c r="A486" s="0" t="s">
        <v>28</v>
      </c>
      <c r="B486" s="0" t="s">
        <v>30</v>
      </c>
      <c r="C486" s="0" t="s">
        <v>190</v>
      </c>
      <c r="D486" s="0" t="s">
        <v>305</v>
      </c>
      <c r="E486" s="0" t="s">
        <v>154</v>
      </c>
      <c r="F486" s="0" t="s">
        <v>447</v>
      </c>
      <c r="G486" s="0" t="s">
        <v>448</v>
      </c>
      <c r="H486" s="0">
        <v>12</v>
      </c>
      <c r="I486" s="0">
        <v>56</v>
      </c>
      <c r="J486" s="0">
        <v>2782</v>
      </c>
    </row>
    <row r="487">
      <c r="A487" s="0" t="s">
        <v>28</v>
      </c>
      <c r="B487" s="0" t="s">
        <v>30</v>
      </c>
      <c r="C487" s="0" t="s">
        <v>190</v>
      </c>
      <c r="D487" s="0" t="s">
        <v>305</v>
      </c>
      <c r="E487" s="0" t="s">
        <v>154</v>
      </c>
      <c r="F487" s="0" t="s">
        <v>449</v>
      </c>
      <c r="G487" s="0" t="s">
        <v>450</v>
      </c>
      <c r="H487" s="0">
        <v>12</v>
      </c>
      <c r="I487" s="0">
        <v>56</v>
      </c>
      <c r="J487" s="0">
        <v>2782</v>
      </c>
    </row>
    <row r="488">
      <c r="A488" s="0" t="s">
        <v>28</v>
      </c>
      <c r="B488" s="0" t="s">
        <v>30</v>
      </c>
      <c r="C488" s="0" t="s">
        <v>190</v>
      </c>
      <c r="D488" s="0" t="s">
        <v>305</v>
      </c>
      <c r="E488" s="0" t="s">
        <v>154</v>
      </c>
      <c r="F488" s="0" t="s">
        <v>451</v>
      </c>
      <c r="G488" s="0" t="s">
        <v>452</v>
      </c>
      <c r="H488" s="0">
        <v>12</v>
      </c>
      <c r="I488" s="0">
        <v>56</v>
      </c>
      <c r="J488" s="0">
        <v>2782</v>
      </c>
    </row>
    <row r="489">
      <c r="A489" s="0" t="s">
        <v>28</v>
      </c>
      <c r="B489" s="0" t="s">
        <v>30</v>
      </c>
      <c r="C489" s="0" t="s">
        <v>190</v>
      </c>
      <c r="D489" s="0" t="s">
        <v>305</v>
      </c>
      <c r="E489" s="0" t="s">
        <v>154</v>
      </c>
      <c r="F489" s="0" t="s">
        <v>453</v>
      </c>
      <c r="G489" s="0" t="s">
        <v>454</v>
      </c>
      <c r="H489" s="0">
        <v>12</v>
      </c>
      <c r="I489" s="0">
        <v>56</v>
      </c>
      <c r="J489" s="0">
        <v>2782</v>
      </c>
    </row>
    <row r="490">
      <c r="A490" s="0" t="s">
        <v>28</v>
      </c>
      <c r="B490" s="0" t="s">
        <v>30</v>
      </c>
      <c r="C490" s="0" t="s">
        <v>190</v>
      </c>
      <c r="D490" s="0" t="s">
        <v>305</v>
      </c>
      <c r="E490" s="0" t="s">
        <v>154</v>
      </c>
      <c r="F490" s="0" t="s">
        <v>455</v>
      </c>
      <c r="G490" s="0" t="s">
        <v>456</v>
      </c>
      <c r="H490" s="0">
        <v>12</v>
      </c>
      <c r="I490" s="0">
        <v>56</v>
      </c>
      <c r="J490" s="0">
        <v>2782</v>
      </c>
    </row>
    <row r="491">
      <c r="A491" s="0" t="s">
        <v>28</v>
      </c>
      <c r="B491" s="0" t="s">
        <v>30</v>
      </c>
      <c r="C491" s="0" t="s">
        <v>190</v>
      </c>
      <c r="D491" s="0" t="s">
        <v>305</v>
      </c>
      <c r="E491" s="0" t="s">
        <v>154</v>
      </c>
      <c r="F491" s="0" t="s">
        <v>457</v>
      </c>
      <c r="G491" s="0" t="s">
        <v>458</v>
      </c>
      <c r="H491" s="0">
        <v>12</v>
      </c>
      <c r="I491" s="0">
        <v>56</v>
      </c>
      <c r="J491" s="0">
        <v>2782</v>
      </c>
    </row>
    <row r="492">
      <c r="A492" s="0" t="s">
        <v>28</v>
      </c>
      <c r="B492" s="0" t="s">
        <v>30</v>
      </c>
      <c r="C492" s="0" t="s">
        <v>190</v>
      </c>
      <c r="D492" s="0" t="s">
        <v>305</v>
      </c>
      <c r="E492" s="0" t="s">
        <v>154</v>
      </c>
      <c r="F492" s="0" t="s">
        <v>459</v>
      </c>
      <c r="G492" s="0" t="s">
        <v>299</v>
      </c>
      <c r="H492" s="0">
        <v>12</v>
      </c>
      <c r="I492" s="0">
        <v>56</v>
      </c>
      <c r="J492" s="0">
        <v>2782</v>
      </c>
    </row>
    <row r="493">
      <c r="A493" s="0" t="s">
        <v>28</v>
      </c>
      <c r="B493" s="0" t="s">
        <v>30</v>
      </c>
      <c r="C493" s="0" t="s">
        <v>190</v>
      </c>
      <c r="D493" s="0" t="s">
        <v>305</v>
      </c>
      <c r="E493" s="0" t="s">
        <v>154</v>
      </c>
      <c r="F493" s="0" t="s">
        <v>460</v>
      </c>
      <c r="G493" s="0" t="s">
        <v>268</v>
      </c>
      <c r="H493" s="0">
        <v>12</v>
      </c>
      <c r="I493" s="0">
        <v>56</v>
      </c>
      <c r="J493" s="0">
        <v>2782</v>
      </c>
    </row>
    <row r="494">
      <c r="A494" s="0" t="s">
        <v>28</v>
      </c>
      <c r="B494" s="0" t="s">
        <v>30</v>
      </c>
      <c r="C494" s="0" t="s">
        <v>190</v>
      </c>
      <c r="D494" s="0" t="s">
        <v>305</v>
      </c>
      <c r="E494" s="0" t="s">
        <v>154</v>
      </c>
      <c r="F494" s="0" t="s">
        <v>403</v>
      </c>
      <c r="G494" s="0" t="s">
        <v>461</v>
      </c>
      <c r="H494" s="0">
        <v>12</v>
      </c>
      <c r="I494" s="0">
        <v>56</v>
      </c>
      <c r="J494" s="0">
        <v>2782</v>
      </c>
    </row>
    <row r="495">
      <c r="A495" s="0" t="s">
        <v>28</v>
      </c>
      <c r="B495" s="0" t="s">
        <v>30</v>
      </c>
      <c r="C495" s="0" t="s">
        <v>190</v>
      </c>
      <c r="D495" s="0" t="s">
        <v>305</v>
      </c>
      <c r="E495" s="0" t="s">
        <v>154</v>
      </c>
      <c r="F495" s="0" t="s">
        <v>462</v>
      </c>
      <c r="G495" s="0" t="s">
        <v>463</v>
      </c>
      <c r="H495" s="0">
        <v>12</v>
      </c>
      <c r="I495" s="0">
        <v>56</v>
      </c>
      <c r="J495" s="0">
        <v>2782</v>
      </c>
    </row>
    <row r="496">
      <c r="A496" s="0" t="s">
        <v>28</v>
      </c>
      <c r="B496" s="0" t="s">
        <v>30</v>
      </c>
      <c r="C496" s="0" t="s">
        <v>190</v>
      </c>
      <c r="D496" s="0" t="s">
        <v>305</v>
      </c>
      <c r="E496" s="0" t="s">
        <v>154</v>
      </c>
      <c r="F496" s="0" t="s">
        <v>464</v>
      </c>
      <c r="G496" s="0" t="s">
        <v>269</v>
      </c>
      <c r="H496" s="0">
        <v>12</v>
      </c>
      <c r="I496" s="0">
        <v>56</v>
      </c>
      <c r="J496" s="0">
        <v>2782</v>
      </c>
    </row>
    <row r="497">
      <c r="A497" s="0" t="s">
        <v>28</v>
      </c>
      <c r="B497" s="0" t="s">
        <v>30</v>
      </c>
      <c r="C497" s="0" t="s">
        <v>190</v>
      </c>
      <c r="D497" s="0" t="s">
        <v>305</v>
      </c>
      <c r="E497" s="0" t="s">
        <v>154</v>
      </c>
      <c r="F497" s="0" t="s">
        <v>427</v>
      </c>
      <c r="G497" s="0" t="s">
        <v>465</v>
      </c>
      <c r="H497" s="0">
        <v>12</v>
      </c>
      <c r="I497" s="0">
        <v>56</v>
      </c>
      <c r="J497" s="0">
        <v>2782</v>
      </c>
    </row>
    <row r="498">
      <c r="A498" s="0" t="s">
        <v>28</v>
      </c>
      <c r="B498" s="0" t="s">
        <v>30</v>
      </c>
      <c r="C498" s="0" t="s">
        <v>190</v>
      </c>
      <c r="D498" s="0" t="s">
        <v>305</v>
      </c>
      <c r="E498" s="0" t="s">
        <v>154</v>
      </c>
      <c r="F498" s="0" t="s">
        <v>429</v>
      </c>
      <c r="G498" s="0" t="s">
        <v>552</v>
      </c>
      <c r="H498" s="0">
        <v>12</v>
      </c>
      <c r="I498" s="0">
        <v>56</v>
      </c>
      <c r="J498" s="0">
        <v>2782</v>
      </c>
    </row>
    <row r="499">
      <c r="A499" s="0" t="s">
        <v>28</v>
      </c>
      <c r="B499" s="0" t="s">
        <v>30</v>
      </c>
      <c r="C499" s="0" t="s">
        <v>190</v>
      </c>
      <c r="D499" s="0" t="s">
        <v>305</v>
      </c>
      <c r="E499" s="0" t="s">
        <v>154</v>
      </c>
      <c r="F499" s="0" t="s">
        <v>467</v>
      </c>
      <c r="G499" s="0" t="s">
        <v>270</v>
      </c>
      <c r="H499" s="0">
        <v>12</v>
      </c>
      <c r="I499" s="0">
        <v>56</v>
      </c>
      <c r="J499" s="0">
        <v>2782</v>
      </c>
    </row>
    <row r="500">
      <c r="A500" s="0" t="s">
        <v>28</v>
      </c>
      <c r="B500" s="0" t="s">
        <v>30</v>
      </c>
      <c r="C500" s="0" t="s">
        <v>190</v>
      </c>
      <c r="D500" s="0" t="s">
        <v>305</v>
      </c>
      <c r="E500" s="0" t="s">
        <v>154</v>
      </c>
      <c r="F500" s="0" t="s">
        <v>468</v>
      </c>
      <c r="G500" s="0" t="s">
        <v>271</v>
      </c>
      <c r="H500" s="0">
        <v>12</v>
      </c>
      <c r="I500" s="0">
        <v>56</v>
      </c>
      <c r="J500" s="0">
        <v>2782</v>
      </c>
    </row>
    <row r="501">
      <c r="A501" s="0" t="s">
        <v>28</v>
      </c>
      <c r="B501" s="0" t="s">
        <v>30</v>
      </c>
      <c r="C501" s="0" t="s">
        <v>190</v>
      </c>
      <c r="D501" s="0" t="s">
        <v>305</v>
      </c>
      <c r="E501" s="0" t="s">
        <v>154</v>
      </c>
      <c r="F501" s="0" t="s">
        <v>369</v>
      </c>
      <c r="G501" s="0" t="s">
        <v>370</v>
      </c>
      <c r="H501" s="0">
        <v>12</v>
      </c>
      <c r="I501" s="0">
        <v>56</v>
      </c>
      <c r="J501" s="0">
        <v>2782</v>
      </c>
    </row>
    <row r="502">
      <c r="A502" s="0" t="s">
        <v>28</v>
      </c>
      <c r="B502" s="0" t="s">
        <v>30</v>
      </c>
      <c r="C502" s="0" t="s">
        <v>190</v>
      </c>
      <c r="D502" s="0" t="s">
        <v>305</v>
      </c>
      <c r="E502" s="0" t="s">
        <v>154</v>
      </c>
      <c r="F502" s="0" t="s">
        <v>469</v>
      </c>
      <c r="G502" s="0" t="s">
        <v>470</v>
      </c>
      <c r="H502" s="0">
        <v>12</v>
      </c>
      <c r="I502" s="0">
        <v>56</v>
      </c>
      <c r="J502" s="0">
        <v>2782</v>
      </c>
    </row>
    <row r="503">
      <c r="A503" s="0" t="s">
        <v>28</v>
      </c>
      <c r="B503" s="0" t="s">
        <v>30</v>
      </c>
      <c r="C503" s="0" t="s">
        <v>190</v>
      </c>
      <c r="D503" s="0" t="s">
        <v>305</v>
      </c>
      <c r="E503" s="0" t="s">
        <v>154</v>
      </c>
      <c r="F503" s="0" t="s">
        <v>471</v>
      </c>
      <c r="G503" s="0" t="s">
        <v>272</v>
      </c>
      <c r="H503" s="0">
        <v>12</v>
      </c>
      <c r="I503" s="0">
        <v>56</v>
      </c>
      <c r="J503" s="0">
        <v>2782</v>
      </c>
    </row>
    <row r="504">
      <c r="A504" s="0" t="s">
        <v>28</v>
      </c>
      <c r="B504" s="0" t="s">
        <v>30</v>
      </c>
      <c r="C504" s="0" t="s">
        <v>190</v>
      </c>
      <c r="D504" s="0" t="s">
        <v>305</v>
      </c>
      <c r="E504" s="0" t="s">
        <v>154</v>
      </c>
      <c r="F504" s="0" t="s">
        <v>472</v>
      </c>
      <c r="G504" s="0" t="s">
        <v>473</v>
      </c>
      <c r="H504" s="0">
        <v>12</v>
      </c>
      <c r="I504" s="0">
        <v>56</v>
      </c>
      <c r="J504" s="0">
        <v>2782</v>
      </c>
    </row>
    <row r="505">
      <c r="A505" s="0" t="s">
        <v>28</v>
      </c>
      <c r="B505" s="0" t="s">
        <v>30</v>
      </c>
      <c r="C505" s="0" t="s">
        <v>190</v>
      </c>
      <c r="D505" s="0" t="s">
        <v>305</v>
      </c>
      <c r="E505" s="0" t="s">
        <v>154</v>
      </c>
      <c r="F505" s="0" t="s">
        <v>331</v>
      </c>
      <c r="G505" s="0" t="s">
        <v>332</v>
      </c>
      <c r="H505" s="0">
        <v>12</v>
      </c>
      <c r="I505" s="0">
        <v>56</v>
      </c>
      <c r="J505" s="0">
        <v>2782</v>
      </c>
    </row>
    <row r="506">
      <c r="A506" s="0" t="s">
        <v>28</v>
      </c>
      <c r="B506" s="0" t="s">
        <v>30</v>
      </c>
      <c r="C506" s="0" t="s">
        <v>190</v>
      </c>
      <c r="D506" s="0" t="s">
        <v>305</v>
      </c>
      <c r="E506" s="0" t="s">
        <v>154</v>
      </c>
      <c r="F506" s="0" t="s">
        <v>474</v>
      </c>
      <c r="G506" s="0" t="s">
        <v>272</v>
      </c>
      <c r="H506" s="0">
        <v>12</v>
      </c>
      <c r="I506" s="0">
        <v>56</v>
      </c>
      <c r="J506" s="0">
        <v>2782</v>
      </c>
    </row>
    <row r="507">
      <c r="A507" s="0" t="s">
        <v>28</v>
      </c>
      <c r="B507" s="0" t="s">
        <v>30</v>
      </c>
      <c r="C507" s="0" t="s">
        <v>190</v>
      </c>
      <c r="D507" s="0" t="s">
        <v>305</v>
      </c>
      <c r="E507" s="0" t="s">
        <v>154</v>
      </c>
      <c r="F507" s="0" t="s">
        <v>475</v>
      </c>
      <c r="G507" s="0" t="s">
        <v>476</v>
      </c>
      <c r="H507" s="0">
        <v>12</v>
      </c>
      <c r="I507" s="0">
        <v>56</v>
      </c>
      <c r="J507" s="0">
        <v>2782</v>
      </c>
    </row>
    <row r="508">
      <c r="A508" s="0" t="s">
        <v>28</v>
      </c>
      <c r="B508" s="0" t="s">
        <v>30</v>
      </c>
      <c r="C508" s="0" t="s">
        <v>190</v>
      </c>
      <c r="D508" s="0" t="s">
        <v>305</v>
      </c>
      <c r="E508" s="0" t="s">
        <v>154</v>
      </c>
      <c r="F508" s="0" t="s">
        <v>477</v>
      </c>
      <c r="G508" s="0" t="s">
        <v>478</v>
      </c>
      <c r="H508" s="0">
        <v>12</v>
      </c>
      <c r="I508" s="0">
        <v>56</v>
      </c>
      <c r="J508" s="0">
        <v>2782</v>
      </c>
    </row>
    <row r="509">
      <c r="A509" s="0" t="s">
        <v>28</v>
      </c>
      <c r="B509" s="0" t="s">
        <v>30</v>
      </c>
      <c r="C509" s="0" t="s">
        <v>190</v>
      </c>
      <c r="D509" s="0" t="s">
        <v>305</v>
      </c>
      <c r="E509" s="0" t="s">
        <v>154</v>
      </c>
      <c r="F509" s="0" t="s">
        <v>479</v>
      </c>
      <c r="G509" s="0" t="s">
        <v>273</v>
      </c>
      <c r="H509" s="0">
        <v>12</v>
      </c>
      <c r="I509" s="0">
        <v>56</v>
      </c>
      <c r="J509" s="0">
        <v>2782</v>
      </c>
    </row>
    <row r="510">
      <c r="A510" s="0" t="s">
        <v>28</v>
      </c>
      <c r="B510" s="0" t="s">
        <v>30</v>
      </c>
      <c r="C510" s="0" t="s">
        <v>190</v>
      </c>
      <c r="D510" s="0" t="s">
        <v>305</v>
      </c>
      <c r="E510" s="0" t="s">
        <v>154</v>
      </c>
      <c r="F510" s="0" t="s">
        <v>480</v>
      </c>
      <c r="G510" s="0" t="s">
        <v>274</v>
      </c>
      <c r="H510" s="0">
        <v>12</v>
      </c>
      <c r="I510" s="0">
        <v>56</v>
      </c>
      <c r="J510" s="0">
        <v>2782</v>
      </c>
    </row>
    <row r="511">
      <c r="A511" s="0" t="s">
        <v>28</v>
      </c>
      <c r="B511" s="0" t="s">
        <v>30</v>
      </c>
      <c r="C511" s="0" t="s">
        <v>190</v>
      </c>
      <c r="D511" s="0" t="s">
        <v>305</v>
      </c>
      <c r="E511" s="0" t="s">
        <v>154</v>
      </c>
      <c r="F511" s="0" t="s">
        <v>481</v>
      </c>
      <c r="G511" s="0" t="s">
        <v>275</v>
      </c>
      <c r="H511" s="0">
        <v>12</v>
      </c>
      <c r="I511" s="0">
        <v>56</v>
      </c>
      <c r="J511" s="0">
        <v>2782</v>
      </c>
    </row>
    <row r="512">
      <c r="A512" s="0" t="s">
        <v>28</v>
      </c>
      <c r="B512" s="0" t="s">
        <v>30</v>
      </c>
      <c r="C512" s="0" t="s">
        <v>190</v>
      </c>
      <c r="D512" s="0" t="s">
        <v>305</v>
      </c>
      <c r="E512" s="0" t="s">
        <v>154</v>
      </c>
      <c r="F512" s="0" t="s">
        <v>482</v>
      </c>
      <c r="G512" s="0" t="s">
        <v>483</v>
      </c>
      <c r="H512" s="0">
        <v>12</v>
      </c>
      <c r="I512" s="0">
        <v>56</v>
      </c>
      <c r="J512" s="0">
        <v>2782</v>
      </c>
    </row>
    <row r="513">
      <c r="A513" s="0" t="s">
        <v>28</v>
      </c>
      <c r="B513" s="0" t="s">
        <v>30</v>
      </c>
      <c r="C513" s="0" t="s">
        <v>190</v>
      </c>
      <c r="D513" s="0" t="s">
        <v>305</v>
      </c>
      <c r="E513" s="0" t="s">
        <v>154</v>
      </c>
      <c r="F513" s="0" t="s">
        <v>484</v>
      </c>
      <c r="G513" s="0" t="s">
        <v>272</v>
      </c>
      <c r="H513" s="0">
        <v>12</v>
      </c>
      <c r="I513" s="0">
        <v>56</v>
      </c>
      <c r="J513" s="0">
        <v>2782</v>
      </c>
    </row>
    <row r="514">
      <c r="A514" s="0" t="s">
        <v>28</v>
      </c>
      <c r="B514" s="0" t="s">
        <v>30</v>
      </c>
      <c r="C514" s="0" t="s">
        <v>190</v>
      </c>
      <c r="D514" s="0" t="s">
        <v>305</v>
      </c>
      <c r="E514" s="0" t="s">
        <v>154</v>
      </c>
      <c r="F514" s="0" t="s">
        <v>485</v>
      </c>
      <c r="G514" s="0" t="s">
        <v>473</v>
      </c>
      <c r="H514" s="0">
        <v>12</v>
      </c>
      <c r="I514" s="0">
        <v>56</v>
      </c>
      <c r="J514" s="0">
        <v>2782</v>
      </c>
    </row>
    <row r="515">
      <c r="A515" s="0" t="s">
        <v>28</v>
      </c>
      <c r="B515" s="0" t="s">
        <v>30</v>
      </c>
      <c r="C515" s="0" t="s">
        <v>190</v>
      </c>
      <c r="D515" s="0" t="s">
        <v>305</v>
      </c>
      <c r="E515" s="0" t="s">
        <v>154</v>
      </c>
      <c r="F515" s="0" t="s">
        <v>486</v>
      </c>
      <c r="G515" s="0" t="s">
        <v>272</v>
      </c>
      <c r="H515" s="0">
        <v>12</v>
      </c>
      <c r="I515" s="0">
        <v>56</v>
      </c>
      <c r="J515" s="0">
        <v>2782</v>
      </c>
    </row>
    <row r="516">
      <c r="A516" s="0" t="s">
        <v>28</v>
      </c>
      <c r="B516" s="0" t="s">
        <v>30</v>
      </c>
      <c r="C516" s="0" t="s">
        <v>190</v>
      </c>
      <c r="D516" s="0" t="s">
        <v>305</v>
      </c>
      <c r="E516" s="0" t="s">
        <v>154</v>
      </c>
      <c r="F516" s="0" t="s">
        <v>487</v>
      </c>
      <c r="G516" s="0" t="s">
        <v>276</v>
      </c>
      <c r="H516" s="0">
        <v>12</v>
      </c>
      <c r="I516" s="0">
        <v>56</v>
      </c>
      <c r="J516" s="0">
        <v>2782</v>
      </c>
    </row>
    <row r="517">
      <c r="A517" s="0" t="s">
        <v>28</v>
      </c>
      <c r="B517" s="0" t="s">
        <v>30</v>
      </c>
      <c r="C517" s="0" t="s">
        <v>190</v>
      </c>
      <c r="D517" s="0" t="s">
        <v>305</v>
      </c>
      <c r="E517" s="0" t="s">
        <v>154</v>
      </c>
      <c r="F517" s="0" t="s">
        <v>488</v>
      </c>
      <c r="G517" s="0" t="s">
        <v>489</v>
      </c>
      <c r="H517" s="0">
        <v>12</v>
      </c>
      <c r="I517" s="0">
        <v>56</v>
      </c>
      <c r="J517" s="0">
        <v>2782</v>
      </c>
    </row>
    <row r="518">
      <c r="A518" s="0" t="s">
        <v>28</v>
      </c>
      <c r="B518" s="0" t="s">
        <v>30</v>
      </c>
      <c r="C518" s="0" t="s">
        <v>190</v>
      </c>
      <c r="D518" s="0" t="s">
        <v>305</v>
      </c>
      <c r="E518" s="0" t="s">
        <v>154</v>
      </c>
      <c r="F518" s="0" t="s">
        <v>372</v>
      </c>
      <c r="G518" s="0" t="s">
        <v>341</v>
      </c>
      <c r="H518" s="0">
        <v>12</v>
      </c>
      <c r="I518" s="0">
        <v>56</v>
      </c>
      <c r="J518" s="0">
        <v>2782</v>
      </c>
    </row>
    <row r="519">
      <c r="A519" s="0" t="s">
        <v>28</v>
      </c>
      <c r="B519" s="0" t="s">
        <v>30</v>
      </c>
      <c r="C519" s="0" t="s">
        <v>190</v>
      </c>
      <c r="D519" s="0" t="s">
        <v>305</v>
      </c>
      <c r="E519" s="0" t="s">
        <v>154</v>
      </c>
      <c r="F519" s="0" t="s">
        <v>490</v>
      </c>
      <c r="G519" s="0" t="s">
        <v>491</v>
      </c>
      <c r="H519" s="0">
        <v>12</v>
      </c>
      <c r="I519" s="0">
        <v>56</v>
      </c>
      <c r="J519" s="0">
        <v>2782</v>
      </c>
    </row>
    <row r="520">
      <c r="A520" s="0" t="s">
        <v>28</v>
      </c>
      <c r="B520" s="0" t="s">
        <v>30</v>
      </c>
      <c r="C520" s="0" t="s">
        <v>190</v>
      </c>
      <c r="D520" s="0" t="s">
        <v>305</v>
      </c>
      <c r="E520" s="0" t="s">
        <v>154</v>
      </c>
      <c r="F520" s="0" t="s">
        <v>373</v>
      </c>
      <c r="G520" s="0" t="s">
        <v>341</v>
      </c>
      <c r="H520" s="0">
        <v>12</v>
      </c>
      <c r="I520" s="0">
        <v>56</v>
      </c>
      <c r="J520" s="0">
        <v>2782</v>
      </c>
    </row>
    <row r="521">
      <c r="A521" s="0" t="s">
        <v>28</v>
      </c>
      <c r="B521" s="0" t="s">
        <v>30</v>
      </c>
      <c r="C521" s="0" t="s">
        <v>190</v>
      </c>
      <c r="D521" s="0" t="s">
        <v>305</v>
      </c>
      <c r="E521" s="0" t="s">
        <v>154</v>
      </c>
      <c r="F521" s="0" t="s">
        <v>393</v>
      </c>
      <c r="G521" s="0" t="s">
        <v>114</v>
      </c>
      <c r="H521" s="0">
        <v>12</v>
      </c>
      <c r="I521" s="0">
        <v>56</v>
      </c>
      <c r="J521" s="0">
        <v>2782</v>
      </c>
    </row>
    <row r="522">
      <c r="A522" s="0" t="s">
        <v>28</v>
      </c>
      <c r="B522" s="0" t="s">
        <v>30</v>
      </c>
      <c r="C522" s="0" t="s">
        <v>190</v>
      </c>
      <c r="D522" s="0" t="s">
        <v>305</v>
      </c>
      <c r="E522" s="0" t="s">
        <v>154</v>
      </c>
      <c r="F522" s="0" t="s">
        <v>492</v>
      </c>
      <c r="G522" s="0" t="s">
        <v>493</v>
      </c>
      <c r="H522" s="0">
        <v>12</v>
      </c>
      <c r="I522" s="0">
        <v>56</v>
      </c>
      <c r="J522" s="0">
        <v>2782</v>
      </c>
    </row>
    <row r="523">
      <c r="A523" s="0" t="s">
        <v>28</v>
      </c>
      <c r="B523" s="0" t="s">
        <v>30</v>
      </c>
      <c r="C523" s="0" t="s">
        <v>190</v>
      </c>
      <c r="D523" s="0" t="s">
        <v>305</v>
      </c>
      <c r="E523" s="0" t="s">
        <v>154</v>
      </c>
      <c r="F523" s="0" t="s">
        <v>494</v>
      </c>
      <c r="G523" s="0" t="s">
        <v>277</v>
      </c>
      <c r="H523" s="0">
        <v>12</v>
      </c>
      <c r="I523" s="0">
        <v>56</v>
      </c>
      <c r="J523" s="0">
        <v>2782</v>
      </c>
    </row>
    <row r="524">
      <c r="A524" s="0" t="s">
        <v>28</v>
      </c>
      <c r="B524" s="0" t="s">
        <v>30</v>
      </c>
      <c r="C524" s="0" t="s">
        <v>190</v>
      </c>
      <c r="D524" s="0" t="s">
        <v>305</v>
      </c>
      <c r="E524" s="0" t="s">
        <v>154</v>
      </c>
      <c r="F524" s="0" t="s">
        <v>495</v>
      </c>
      <c r="G524" s="0" t="s">
        <v>257</v>
      </c>
      <c r="H524" s="0">
        <v>12</v>
      </c>
      <c r="I524" s="0">
        <v>56</v>
      </c>
      <c r="J524" s="0">
        <v>2782</v>
      </c>
    </row>
    <row r="525">
      <c r="A525" s="0" t="s">
        <v>28</v>
      </c>
      <c r="B525" s="0" t="s">
        <v>30</v>
      </c>
      <c r="C525" s="0" t="s">
        <v>190</v>
      </c>
      <c r="D525" s="0" t="s">
        <v>305</v>
      </c>
      <c r="E525" s="0" t="s">
        <v>154</v>
      </c>
      <c r="F525" s="0" t="s">
        <v>496</v>
      </c>
      <c r="G525" s="0" t="s">
        <v>286</v>
      </c>
      <c r="H525" s="0">
        <v>12</v>
      </c>
      <c r="I525" s="0">
        <v>56</v>
      </c>
      <c r="J525" s="0">
        <v>2782</v>
      </c>
    </row>
    <row r="526">
      <c r="A526" s="0" t="s">
        <v>28</v>
      </c>
      <c r="B526" s="0" t="s">
        <v>30</v>
      </c>
      <c r="C526" s="0" t="s">
        <v>190</v>
      </c>
      <c r="D526" s="0" t="s">
        <v>305</v>
      </c>
      <c r="E526" s="0" t="s">
        <v>154</v>
      </c>
      <c r="F526" s="0" t="s">
        <v>497</v>
      </c>
      <c r="G526" s="0" t="s">
        <v>498</v>
      </c>
      <c r="H526" s="0">
        <v>12</v>
      </c>
      <c r="I526" s="0">
        <v>56</v>
      </c>
      <c r="J526" s="0">
        <v>2782</v>
      </c>
    </row>
    <row r="527">
      <c r="A527" s="0" t="s">
        <v>28</v>
      </c>
      <c r="B527" s="0" t="s">
        <v>30</v>
      </c>
      <c r="C527" s="0" t="s">
        <v>190</v>
      </c>
      <c r="D527" s="0" t="s">
        <v>305</v>
      </c>
      <c r="E527" s="0" t="s">
        <v>154</v>
      </c>
      <c r="F527" s="0" t="s">
        <v>499</v>
      </c>
      <c r="G527" s="0" t="s">
        <v>560</v>
      </c>
      <c r="H527" s="0">
        <v>12</v>
      </c>
      <c r="I527" s="0">
        <v>56</v>
      </c>
      <c r="J527" s="0">
        <v>2782</v>
      </c>
    </row>
    <row r="528">
      <c r="A528" s="0" t="s">
        <v>28</v>
      </c>
      <c r="B528" s="0" t="s">
        <v>30</v>
      </c>
      <c r="C528" s="0" t="s">
        <v>190</v>
      </c>
      <c r="D528" s="0" t="s">
        <v>305</v>
      </c>
      <c r="E528" s="0" t="s">
        <v>154</v>
      </c>
      <c r="F528" s="0" t="s">
        <v>375</v>
      </c>
      <c r="G528" s="0" t="s">
        <v>394</v>
      </c>
      <c r="H528" s="0">
        <v>12</v>
      </c>
      <c r="I528" s="0">
        <v>56</v>
      </c>
      <c r="J528" s="0">
        <v>2782</v>
      </c>
    </row>
    <row r="529">
      <c r="A529" s="0" t="s">
        <v>28</v>
      </c>
      <c r="B529" s="0" t="s">
        <v>30</v>
      </c>
      <c r="C529" s="0" t="s">
        <v>190</v>
      </c>
      <c r="D529" s="0" t="s">
        <v>305</v>
      </c>
      <c r="E529" s="0" t="s">
        <v>154</v>
      </c>
      <c r="F529" s="0" t="s">
        <v>501</v>
      </c>
      <c r="G529" s="0" t="s">
        <v>502</v>
      </c>
      <c r="H529" s="0">
        <v>12</v>
      </c>
      <c r="I529" s="0">
        <v>56</v>
      </c>
      <c r="J529" s="0">
        <v>2782</v>
      </c>
    </row>
    <row r="530">
      <c r="A530" s="0" t="s">
        <v>28</v>
      </c>
      <c r="B530" s="0" t="s">
        <v>30</v>
      </c>
      <c r="C530" s="0" t="s">
        <v>190</v>
      </c>
      <c r="D530" s="0" t="s">
        <v>305</v>
      </c>
      <c r="E530" s="0" t="s">
        <v>154</v>
      </c>
      <c r="F530" s="0" t="s">
        <v>503</v>
      </c>
      <c r="G530" s="0" t="s">
        <v>504</v>
      </c>
      <c r="H530" s="0">
        <v>12</v>
      </c>
      <c r="I530" s="0">
        <v>56</v>
      </c>
      <c r="J530" s="0">
        <v>2782</v>
      </c>
    </row>
    <row r="531">
      <c r="A531" s="0" t="s">
        <v>28</v>
      </c>
      <c r="B531" s="0" t="s">
        <v>30</v>
      </c>
      <c r="C531" s="0" t="s">
        <v>190</v>
      </c>
      <c r="D531" s="0" t="s">
        <v>305</v>
      </c>
      <c r="E531" s="0" t="s">
        <v>154</v>
      </c>
      <c r="F531" s="0" t="s">
        <v>505</v>
      </c>
      <c r="G531" s="0" t="s">
        <v>506</v>
      </c>
      <c r="H531" s="0">
        <v>12</v>
      </c>
      <c r="I531" s="0">
        <v>56</v>
      </c>
      <c r="J531" s="0">
        <v>2782</v>
      </c>
    </row>
    <row r="532">
      <c r="A532" s="0" t="s">
        <v>28</v>
      </c>
      <c r="B532" s="0" t="s">
        <v>30</v>
      </c>
      <c r="C532" s="0" t="s">
        <v>190</v>
      </c>
      <c r="D532" s="0" t="s">
        <v>305</v>
      </c>
      <c r="E532" s="0" t="s">
        <v>154</v>
      </c>
      <c r="F532" s="0" t="s">
        <v>507</v>
      </c>
      <c r="G532" s="0" t="s">
        <v>508</v>
      </c>
      <c r="H532" s="0">
        <v>12</v>
      </c>
      <c r="I532" s="0">
        <v>56</v>
      </c>
      <c r="J532" s="0">
        <v>2782</v>
      </c>
    </row>
    <row r="533">
      <c r="A533" s="0" t="s">
        <v>28</v>
      </c>
      <c r="B533" s="0" t="s">
        <v>30</v>
      </c>
      <c r="C533" s="0" t="s">
        <v>190</v>
      </c>
      <c r="D533" s="0" t="s">
        <v>305</v>
      </c>
      <c r="E533" s="0" t="s">
        <v>154</v>
      </c>
      <c r="F533" s="0" t="s">
        <v>509</v>
      </c>
      <c r="G533" s="0" t="s">
        <v>114</v>
      </c>
      <c r="H533" s="0">
        <v>12</v>
      </c>
      <c r="I533" s="0">
        <v>56</v>
      </c>
      <c r="J533" s="0">
        <v>2782</v>
      </c>
    </row>
    <row r="534">
      <c r="A534" s="0" t="s">
        <v>28</v>
      </c>
      <c r="B534" s="0" t="s">
        <v>30</v>
      </c>
      <c r="C534" s="0" t="s">
        <v>190</v>
      </c>
      <c r="D534" s="0" t="s">
        <v>305</v>
      </c>
      <c r="E534" s="0" t="s">
        <v>154</v>
      </c>
      <c r="F534" s="0" t="s">
        <v>510</v>
      </c>
      <c r="G534" s="0" t="s">
        <v>511</v>
      </c>
      <c r="H534" s="0">
        <v>12</v>
      </c>
      <c r="I534" s="0">
        <v>56</v>
      </c>
      <c r="J534" s="0">
        <v>2782</v>
      </c>
    </row>
    <row r="535">
      <c r="A535" s="0" t="s">
        <v>28</v>
      </c>
      <c r="B535" s="0" t="s">
        <v>30</v>
      </c>
      <c r="C535" s="0" t="s">
        <v>190</v>
      </c>
      <c r="D535" s="0" t="s">
        <v>305</v>
      </c>
      <c r="E535" s="0" t="s">
        <v>154</v>
      </c>
      <c r="F535" s="0" t="s">
        <v>512</v>
      </c>
      <c r="G535" s="0" t="s">
        <v>554</v>
      </c>
      <c r="H535" s="0">
        <v>12</v>
      </c>
      <c r="I535" s="0">
        <v>56</v>
      </c>
      <c r="J535" s="0">
        <v>2782</v>
      </c>
    </row>
    <row r="536">
      <c r="A536" s="0" t="s">
        <v>28</v>
      </c>
      <c r="B536" s="0" t="s">
        <v>30</v>
      </c>
      <c r="C536" s="0" t="s">
        <v>190</v>
      </c>
      <c r="D536" s="0" t="s">
        <v>305</v>
      </c>
      <c r="E536" s="0" t="s">
        <v>154</v>
      </c>
      <c r="F536" s="0" t="s">
        <v>514</v>
      </c>
      <c r="G536" s="0" t="s">
        <v>515</v>
      </c>
      <c r="H536" s="0">
        <v>12</v>
      </c>
      <c r="I536" s="0">
        <v>56</v>
      </c>
      <c r="J536" s="0">
        <v>2782</v>
      </c>
    </row>
    <row r="537">
      <c r="A537" s="0" t="s">
        <v>28</v>
      </c>
      <c r="B537" s="0" t="s">
        <v>30</v>
      </c>
      <c r="C537" s="0" t="s">
        <v>190</v>
      </c>
      <c r="D537" s="0" t="s">
        <v>305</v>
      </c>
      <c r="E537" s="0" t="s">
        <v>154</v>
      </c>
      <c r="F537" s="0" t="s">
        <v>516</v>
      </c>
      <c r="G537" s="0" t="s">
        <v>450</v>
      </c>
      <c r="H537" s="0">
        <v>12</v>
      </c>
      <c r="I537" s="0">
        <v>56</v>
      </c>
      <c r="J537" s="0">
        <v>2782</v>
      </c>
    </row>
    <row r="538">
      <c r="A538" s="0" t="s">
        <v>28</v>
      </c>
      <c r="B538" s="0" t="s">
        <v>30</v>
      </c>
      <c r="C538" s="0" t="s">
        <v>190</v>
      </c>
      <c r="D538" s="0" t="s">
        <v>305</v>
      </c>
      <c r="E538" s="0" t="s">
        <v>154</v>
      </c>
      <c r="F538" s="0" t="s">
        <v>517</v>
      </c>
      <c r="G538" s="0" t="s">
        <v>518</v>
      </c>
      <c r="H538" s="0">
        <v>12</v>
      </c>
      <c r="I538" s="0">
        <v>56</v>
      </c>
      <c r="J538" s="0">
        <v>2782</v>
      </c>
    </row>
    <row r="539">
      <c r="A539" s="0" t="s">
        <v>28</v>
      </c>
      <c r="B539" s="0" t="s">
        <v>30</v>
      </c>
      <c r="C539" s="0" t="s">
        <v>190</v>
      </c>
      <c r="D539" s="0" t="s">
        <v>305</v>
      </c>
      <c r="E539" s="0" t="s">
        <v>154</v>
      </c>
      <c r="F539" s="0" t="s">
        <v>377</v>
      </c>
      <c r="G539" s="0" t="s">
        <v>378</v>
      </c>
      <c r="H539" s="0">
        <v>12</v>
      </c>
      <c r="I539" s="0">
        <v>56</v>
      </c>
      <c r="J539" s="0">
        <v>2782</v>
      </c>
    </row>
    <row r="540">
      <c r="A540" s="0" t="s">
        <v>28</v>
      </c>
      <c r="B540" s="0" t="s">
        <v>30</v>
      </c>
      <c r="C540" s="0" t="s">
        <v>190</v>
      </c>
      <c r="D540" s="0" t="s">
        <v>305</v>
      </c>
      <c r="E540" s="0" t="s">
        <v>154</v>
      </c>
      <c r="F540" s="0" t="s">
        <v>519</v>
      </c>
      <c r="G540" s="0" t="s">
        <v>520</v>
      </c>
      <c r="H540" s="0">
        <v>12</v>
      </c>
      <c r="I540" s="0">
        <v>56</v>
      </c>
      <c r="J540" s="0">
        <v>2782</v>
      </c>
    </row>
    <row r="541">
      <c r="A541" s="0" t="s">
        <v>28</v>
      </c>
      <c r="B541" s="0" t="s">
        <v>30</v>
      </c>
      <c r="C541" s="0" t="s">
        <v>190</v>
      </c>
      <c r="D541" s="0" t="s">
        <v>305</v>
      </c>
      <c r="E541" s="0" t="s">
        <v>154</v>
      </c>
      <c r="F541" s="0" t="s">
        <v>521</v>
      </c>
      <c r="G541" s="0" t="s">
        <v>341</v>
      </c>
      <c r="H541" s="0">
        <v>12</v>
      </c>
      <c r="I541" s="0">
        <v>56</v>
      </c>
      <c r="J541" s="0">
        <v>2782</v>
      </c>
    </row>
    <row r="542">
      <c r="A542" s="0" t="s">
        <v>28</v>
      </c>
      <c r="B542" s="0" t="s">
        <v>30</v>
      </c>
      <c r="C542" s="0" t="s">
        <v>190</v>
      </c>
      <c r="D542" s="0" t="s">
        <v>305</v>
      </c>
      <c r="E542" s="0" t="s">
        <v>154</v>
      </c>
      <c r="F542" s="0" t="s">
        <v>522</v>
      </c>
      <c r="G542" s="0" t="s">
        <v>523</v>
      </c>
      <c r="H542" s="0">
        <v>12</v>
      </c>
      <c r="I542" s="0">
        <v>56</v>
      </c>
      <c r="J542" s="0">
        <v>2782</v>
      </c>
    </row>
    <row r="543">
      <c r="A543" s="0" t="s">
        <v>28</v>
      </c>
      <c r="B543" s="0" t="s">
        <v>30</v>
      </c>
      <c r="C543" s="0" t="s">
        <v>190</v>
      </c>
      <c r="D543" s="0" t="s">
        <v>305</v>
      </c>
      <c r="E543" s="0" t="s">
        <v>154</v>
      </c>
      <c r="F543" s="0" t="s">
        <v>524</v>
      </c>
      <c r="G543" s="0" t="s">
        <v>561</v>
      </c>
      <c r="H543" s="0">
        <v>12</v>
      </c>
      <c r="I543" s="0">
        <v>56</v>
      </c>
      <c r="J543" s="0">
        <v>2782</v>
      </c>
    </row>
    <row r="544">
      <c r="A544" s="0" t="s">
        <v>28</v>
      </c>
      <c r="B544" s="0" t="s">
        <v>30</v>
      </c>
      <c r="C544" s="0" t="s">
        <v>190</v>
      </c>
      <c r="D544" s="0" t="s">
        <v>305</v>
      </c>
      <c r="E544" s="0" t="s">
        <v>154</v>
      </c>
      <c r="F544" s="0" t="s">
        <v>526</v>
      </c>
      <c r="G544" s="0" t="s">
        <v>556</v>
      </c>
      <c r="H544" s="0">
        <v>12</v>
      </c>
      <c r="I544" s="0">
        <v>56</v>
      </c>
      <c r="J544" s="0">
        <v>2782</v>
      </c>
    </row>
    <row r="545">
      <c r="A545" s="0" t="s">
        <v>28</v>
      </c>
      <c r="B545" s="0" t="s">
        <v>30</v>
      </c>
      <c r="C545" s="0" t="s">
        <v>190</v>
      </c>
      <c r="D545" s="0" t="s">
        <v>305</v>
      </c>
      <c r="E545" s="0" t="s">
        <v>154</v>
      </c>
      <c r="F545" s="0" t="s">
        <v>528</v>
      </c>
      <c r="G545" s="0" t="s">
        <v>529</v>
      </c>
      <c r="H545" s="0">
        <v>12</v>
      </c>
      <c r="I545" s="0">
        <v>56</v>
      </c>
      <c r="J545" s="0">
        <v>2782</v>
      </c>
    </row>
    <row r="546">
      <c r="A546" s="0" t="s">
        <v>28</v>
      </c>
      <c r="B546" s="0" t="s">
        <v>30</v>
      </c>
      <c r="C546" s="0" t="s">
        <v>190</v>
      </c>
      <c r="D546" s="0" t="s">
        <v>305</v>
      </c>
      <c r="E546" s="0" t="s">
        <v>154</v>
      </c>
      <c r="F546" s="0" t="s">
        <v>530</v>
      </c>
      <c r="G546" s="0" t="s">
        <v>300</v>
      </c>
      <c r="H546" s="0">
        <v>12</v>
      </c>
      <c r="I546" s="0">
        <v>56</v>
      </c>
      <c r="J546" s="0">
        <v>2782</v>
      </c>
    </row>
    <row r="547">
      <c r="A547" s="0" t="s">
        <v>28</v>
      </c>
      <c r="B547" s="0" t="s">
        <v>30</v>
      </c>
      <c r="C547" s="0" t="s">
        <v>190</v>
      </c>
      <c r="D547" s="0" t="s">
        <v>305</v>
      </c>
      <c r="E547" s="0" t="s">
        <v>154</v>
      </c>
      <c r="F547" s="0" t="s">
        <v>531</v>
      </c>
      <c r="G547" s="0" t="s">
        <v>532</v>
      </c>
      <c r="H547" s="0">
        <v>12</v>
      </c>
      <c r="I547" s="0">
        <v>56</v>
      </c>
      <c r="J547" s="0">
        <v>2782</v>
      </c>
    </row>
    <row r="548">
      <c r="A548" s="0" t="s">
        <v>28</v>
      </c>
      <c r="B548" s="0" t="s">
        <v>30</v>
      </c>
      <c r="C548" s="0" t="s">
        <v>190</v>
      </c>
      <c r="D548" s="0" t="s">
        <v>305</v>
      </c>
      <c r="E548" s="0" t="s">
        <v>154</v>
      </c>
      <c r="F548" s="0" t="s">
        <v>336</v>
      </c>
      <c r="G548" s="0" t="s">
        <v>379</v>
      </c>
      <c r="H548" s="0">
        <v>12</v>
      </c>
      <c r="I548" s="0">
        <v>56</v>
      </c>
      <c r="J548" s="0">
        <v>2782</v>
      </c>
    </row>
    <row r="549">
      <c r="A549" s="0" t="s">
        <v>28</v>
      </c>
      <c r="B549" s="0" t="s">
        <v>30</v>
      </c>
      <c r="C549" s="0" t="s">
        <v>190</v>
      </c>
      <c r="D549" s="0" t="s">
        <v>305</v>
      </c>
      <c r="E549" s="0" t="s">
        <v>154</v>
      </c>
      <c r="F549" s="0" t="s">
        <v>338</v>
      </c>
      <c r="G549" s="0" t="s">
        <v>395</v>
      </c>
      <c r="H549" s="0">
        <v>12</v>
      </c>
      <c r="I549" s="0">
        <v>56</v>
      </c>
      <c r="J549" s="0">
        <v>2782</v>
      </c>
    </row>
    <row r="550">
      <c r="A550" s="0" t="s">
        <v>28</v>
      </c>
      <c r="B550" s="0" t="s">
        <v>30</v>
      </c>
      <c r="C550" s="0" t="s">
        <v>190</v>
      </c>
      <c r="D550" s="0" t="s">
        <v>305</v>
      </c>
      <c r="E550" s="0" t="s">
        <v>154</v>
      </c>
      <c r="F550" s="0" t="s">
        <v>381</v>
      </c>
      <c r="G550" s="0" t="s">
        <v>382</v>
      </c>
      <c r="H550" s="0">
        <v>12</v>
      </c>
      <c r="I550" s="0">
        <v>56</v>
      </c>
      <c r="J550" s="0">
        <v>2782</v>
      </c>
    </row>
    <row r="551">
      <c r="A551" s="0" t="s">
        <v>28</v>
      </c>
      <c r="B551" s="0" t="s">
        <v>30</v>
      </c>
      <c r="C551" s="0" t="s">
        <v>190</v>
      </c>
      <c r="D551" s="0" t="s">
        <v>305</v>
      </c>
      <c r="E551" s="0" t="s">
        <v>154</v>
      </c>
      <c r="F551" s="0" t="s">
        <v>340</v>
      </c>
      <c r="G551" s="0" t="s">
        <v>341</v>
      </c>
      <c r="H551" s="0">
        <v>12</v>
      </c>
      <c r="I551" s="0">
        <v>56</v>
      </c>
      <c r="J551" s="0">
        <v>2782</v>
      </c>
    </row>
    <row r="552">
      <c r="A552" s="0" t="s">
        <v>28</v>
      </c>
      <c r="B552" s="0" t="s">
        <v>30</v>
      </c>
      <c r="C552" s="0" t="s">
        <v>190</v>
      </c>
      <c r="D552" s="0" t="s">
        <v>305</v>
      </c>
      <c r="E552" s="0" t="s">
        <v>154</v>
      </c>
      <c r="F552" s="0" t="s">
        <v>342</v>
      </c>
      <c r="G552" s="0" t="s">
        <v>341</v>
      </c>
      <c r="H552" s="0">
        <v>12</v>
      </c>
      <c r="I552" s="0">
        <v>56</v>
      </c>
      <c r="J552" s="0">
        <v>2782</v>
      </c>
    </row>
    <row r="553">
      <c r="A553" s="0" t="s">
        <v>28</v>
      </c>
      <c r="B553" s="0" t="s">
        <v>30</v>
      </c>
      <c r="C553" s="0" t="s">
        <v>190</v>
      </c>
      <c r="D553" s="0" t="s">
        <v>305</v>
      </c>
      <c r="E553" s="0" t="s">
        <v>154</v>
      </c>
      <c r="F553" s="0" t="s">
        <v>343</v>
      </c>
      <c r="G553" s="0" t="s">
        <v>344</v>
      </c>
      <c r="H553" s="0">
        <v>12</v>
      </c>
      <c r="I553" s="0">
        <v>56</v>
      </c>
      <c r="J553" s="0">
        <v>2782</v>
      </c>
    </row>
    <row r="554">
      <c r="A554" s="0" t="s">
        <v>28</v>
      </c>
      <c r="B554" s="0" t="s">
        <v>30</v>
      </c>
      <c r="C554" s="0" t="s">
        <v>190</v>
      </c>
      <c r="D554" s="0" t="s">
        <v>305</v>
      </c>
      <c r="E554" s="0" t="s">
        <v>154</v>
      </c>
      <c r="F554" s="0" t="s">
        <v>345</v>
      </c>
      <c r="G554" s="0" t="s">
        <v>379</v>
      </c>
      <c r="H554" s="0">
        <v>12</v>
      </c>
      <c r="I554" s="0">
        <v>56</v>
      </c>
      <c r="J554" s="0">
        <v>2782</v>
      </c>
    </row>
    <row r="555">
      <c r="A555" s="0" t="s">
        <v>28</v>
      </c>
      <c r="B555" s="0" t="s">
        <v>30</v>
      </c>
      <c r="C555" s="0" t="s">
        <v>194</v>
      </c>
      <c r="D555" s="0" t="s">
        <v>307</v>
      </c>
      <c r="E555" s="0" t="s">
        <v>154</v>
      </c>
      <c r="F555" s="0" t="s">
        <v>398</v>
      </c>
      <c r="G555" s="0" t="s">
        <v>114</v>
      </c>
      <c r="H555" s="0">
        <v>12</v>
      </c>
      <c r="I555" s="0">
        <v>55</v>
      </c>
      <c r="J555" s="0">
        <v>2103</v>
      </c>
    </row>
    <row r="556">
      <c r="A556" s="0" t="s">
        <v>28</v>
      </c>
      <c r="B556" s="0" t="s">
        <v>30</v>
      </c>
      <c r="C556" s="0" t="s">
        <v>194</v>
      </c>
      <c r="D556" s="0" t="s">
        <v>307</v>
      </c>
      <c r="E556" s="0" t="s">
        <v>154</v>
      </c>
      <c r="F556" s="0" t="s">
        <v>327</v>
      </c>
      <c r="G556" s="0" t="s">
        <v>30</v>
      </c>
      <c r="H556" s="0">
        <v>12</v>
      </c>
      <c r="I556" s="0">
        <v>55</v>
      </c>
      <c r="J556" s="0">
        <v>2103</v>
      </c>
    </row>
    <row r="557">
      <c r="A557" s="0" t="s">
        <v>28</v>
      </c>
      <c r="B557" s="0" t="s">
        <v>30</v>
      </c>
      <c r="C557" s="0" t="s">
        <v>194</v>
      </c>
      <c r="D557" s="0" t="s">
        <v>307</v>
      </c>
      <c r="E557" s="0" t="s">
        <v>154</v>
      </c>
      <c r="F557" s="0" t="s">
        <v>328</v>
      </c>
      <c r="G557" s="0" t="s">
        <v>307</v>
      </c>
      <c r="H557" s="0">
        <v>12</v>
      </c>
      <c r="I557" s="0">
        <v>55</v>
      </c>
      <c r="J557" s="0">
        <v>2103</v>
      </c>
    </row>
    <row r="558">
      <c r="A558" s="0" t="s">
        <v>28</v>
      </c>
      <c r="B558" s="0" t="s">
        <v>30</v>
      </c>
      <c r="C558" s="0" t="s">
        <v>194</v>
      </c>
      <c r="D558" s="0" t="s">
        <v>307</v>
      </c>
      <c r="E558" s="0" t="s">
        <v>154</v>
      </c>
      <c r="F558" s="0" t="s">
        <v>329</v>
      </c>
      <c r="G558" s="0" t="s">
        <v>194</v>
      </c>
      <c r="H558" s="0">
        <v>12</v>
      </c>
      <c r="I558" s="0">
        <v>55</v>
      </c>
      <c r="J558" s="0">
        <v>2103</v>
      </c>
    </row>
    <row r="559">
      <c r="A559" s="0" t="s">
        <v>28</v>
      </c>
      <c r="B559" s="0" t="s">
        <v>30</v>
      </c>
      <c r="C559" s="0" t="s">
        <v>194</v>
      </c>
      <c r="D559" s="0" t="s">
        <v>307</v>
      </c>
      <c r="E559" s="0" t="s">
        <v>154</v>
      </c>
      <c r="F559" s="0" t="s">
        <v>444</v>
      </c>
      <c r="G559" s="0" t="s">
        <v>562</v>
      </c>
      <c r="H559" s="0">
        <v>12</v>
      </c>
      <c r="I559" s="0">
        <v>55</v>
      </c>
      <c r="J559" s="0">
        <v>2103</v>
      </c>
    </row>
    <row r="560">
      <c r="A560" s="0" t="s">
        <v>28</v>
      </c>
      <c r="B560" s="0" t="s">
        <v>30</v>
      </c>
      <c r="C560" s="0" t="s">
        <v>194</v>
      </c>
      <c r="D560" s="0" t="s">
        <v>307</v>
      </c>
      <c r="E560" s="0" t="s">
        <v>154</v>
      </c>
      <c r="F560" s="0" t="s">
        <v>446</v>
      </c>
      <c r="G560" s="0" t="s">
        <v>341</v>
      </c>
      <c r="H560" s="0">
        <v>12</v>
      </c>
      <c r="I560" s="0">
        <v>55</v>
      </c>
      <c r="J560" s="0">
        <v>2103</v>
      </c>
    </row>
    <row r="561">
      <c r="A561" s="0" t="s">
        <v>28</v>
      </c>
      <c r="B561" s="0" t="s">
        <v>30</v>
      </c>
      <c r="C561" s="0" t="s">
        <v>194</v>
      </c>
      <c r="D561" s="0" t="s">
        <v>307</v>
      </c>
      <c r="E561" s="0" t="s">
        <v>154</v>
      </c>
      <c r="F561" s="0" t="s">
        <v>447</v>
      </c>
      <c r="G561" s="0" t="s">
        <v>448</v>
      </c>
      <c r="H561" s="0">
        <v>12</v>
      </c>
      <c r="I561" s="0">
        <v>55</v>
      </c>
      <c r="J561" s="0">
        <v>2103</v>
      </c>
    </row>
    <row r="562">
      <c r="A562" s="0" t="s">
        <v>28</v>
      </c>
      <c r="B562" s="0" t="s">
        <v>30</v>
      </c>
      <c r="C562" s="0" t="s">
        <v>194</v>
      </c>
      <c r="D562" s="0" t="s">
        <v>307</v>
      </c>
      <c r="E562" s="0" t="s">
        <v>154</v>
      </c>
      <c r="F562" s="0" t="s">
        <v>399</v>
      </c>
      <c r="G562" s="0" t="s">
        <v>400</v>
      </c>
      <c r="H562" s="0">
        <v>12</v>
      </c>
      <c r="I562" s="0">
        <v>55</v>
      </c>
      <c r="J562" s="0">
        <v>2103</v>
      </c>
    </row>
    <row r="563">
      <c r="A563" s="0" t="s">
        <v>28</v>
      </c>
      <c r="B563" s="0" t="s">
        <v>30</v>
      </c>
      <c r="C563" s="0" t="s">
        <v>194</v>
      </c>
      <c r="D563" s="0" t="s">
        <v>307</v>
      </c>
      <c r="E563" s="0" t="s">
        <v>154</v>
      </c>
      <c r="F563" s="0" t="s">
        <v>401</v>
      </c>
      <c r="G563" s="0" t="s">
        <v>402</v>
      </c>
      <c r="H563" s="0">
        <v>12</v>
      </c>
      <c r="I563" s="0">
        <v>55</v>
      </c>
      <c r="J563" s="0">
        <v>2103</v>
      </c>
    </row>
    <row r="564">
      <c r="A564" s="0" t="s">
        <v>28</v>
      </c>
      <c r="B564" s="0" t="s">
        <v>30</v>
      </c>
      <c r="C564" s="0" t="s">
        <v>194</v>
      </c>
      <c r="D564" s="0" t="s">
        <v>307</v>
      </c>
      <c r="E564" s="0" t="s">
        <v>154</v>
      </c>
      <c r="F564" s="0" t="s">
        <v>449</v>
      </c>
      <c r="G564" s="0" t="s">
        <v>450</v>
      </c>
      <c r="H564" s="0">
        <v>12</v>
      </c>
      <c r="I564" s="0">
        <v>55</v>
      </c>
      <c r="J564" s="0">
        <v>2103</v>
      </c>
    </row>
    <row r="565">
      <c r="A565" s="0" t="s">
        <v>28</v>
      </c>
      <c r="B565" s="0" t="s">
        <v>30</v>
      </c>
      <c r="C565" s="0" t="s">
        <v>194</v>
      </c>
      <c r="D565" s="0" t="s">
        <v>307</v>
      </c>
      <c r="E565" s="0" t="s">
        <v>154</v>
      </c>
      <c r="F565" s="0" t="s">
        <v>451</v>
      </c>
      <c r="G565" s="0" t="s">
        <v>452</v>
      </c>
      <c r="H565" s="0">
        <v>12</v>
      </c>
      <c r="I565" s="0">
        <v>55</v>
      </c>
      <c r="J565" s="0">
        <v>2103</v>
      </c>
    </row>
    <row r="566">
      <c r="A566" s="0" t="s">
        <v>28</v>
      </c>
      <c r="B566" s="0" t="s">
        <v>30</v>
      </c>
      <c r="C566" s="0" t="s">
        <v>194</v>
      </c>
      <c r="D566" s="0" t="s">
        <v>307</v>
      </c>
      <c r="E566" s="0" t="s">
        <v>154</v>
      </c>
      <c r="F566" s="0" t="s">
        <v>453</v>
      </c>
      <c r="G566" s="0" t="s">
        <v>454</v>
      </c>
      <c r="H566" s="0">
        <v>12</v>
      </c>
      <c r="I566" s="0">
        <v>55</v>
      </c>
      <c r="J566" s="0">
        <v>2103</v>
      </c>
    </row>
    <row r="567">
      <c r="A567" s="0" t="s">
        <v>28</v>
      </c>
      <c r="B567" s="0" t="s">
        <v>30</v>
      </c>
      <c r="C567" s="0" t="s">
        <v>194</v>
      </c>
      <c r="D567" s="0" t="s">
        <v>307</v>
      </c>
      <c r="E567" s="0" t="s">
        <v>154</v>
      </c>
      <c r="F567" s="0" t="s">
        <v>455</v>
      </c>
      <c r="G567" s="0" t="s">
        <v>456</v>
      </c>
      <c r="H567" s="0">
        <v>12</v>
      </c>
      <c r="I567" s="0">
        <v>55</v>
      </c>
      <c r="J567" s="0">
        <v>2103</v>
      </c>
    </row>
    <row r="568">
      <c r="A568" s="0" t="s">
        <v>28</v>
      </c>
      <c r="B568" s="0" t="s">
        <v>30</v>
      </c>
      <c r="C568" s="0" t="s">
        <v>194</v>
      </c>
      <c r="D568" s="0" t="s">
        <v>307</v>
      </c>
      <c r="E568" s="0" t="s">
        <v>154</v>
      </c>
      <c r="F568" s="0" t="s">
        <v>457</v>
      </c>
      <c r="G568" s="0" t="s">
        <v>458</v>
      </c>
      <c r="H568" s="0">
        <v>12</v>
      </c>
      <c r="I568" s="0">
        <v>55</v>
      </c>
      <c r="J568" s="0">
        <v>2103</v>
      </c>
    </row>
    <row r="569">
      <c r="A569" s="0" t="s">
        <v>28</v>
      </c>
      <c r="B569" s="0" t="s">
        <v>30</v>
      </c>
      <c r="C569" s="0" t="s">
        <v>194</v>
      </c>
      <c r="D569" s="0" t="s">
        <v>307</v>
      </c>
      <c r="E569" s="0" t="s">
        <v>154</v>
      </c>
      <c r="F569" s="0" t="s">
        <v>459</v>
      </c>
      <c r="G569" s="0" t="s">
        <v>308</v>
      </c>
      <c r="H569" s="0">
        <v>12</v>
      </c>
      <c r="I569" s="0">
        <v>55</v>
      </c>
      <c r="J569" s="0">
        <v>2103</v>
      </c>
    </row>
    <row r="570">
      <c r="A570" s="0" t="s">
        <v>28</v>
      </c>
      <c r="B570" s="0" t="s">
        <v>30</v>
      </c>
      <c r="C570" s="0" t="s">
        <v>194</v>
      </c>
      <c r="D570" s="0" t="s">
        <v>307</v>
      </c>
      <c r="E570" s="0" t="s">
        <v>154</v>
      </c>
      <c r="F570" s="0" t="s">
        <v>460</v>
      </c>
      <c r="G570" s="0" t="s">
        <v>268</v>
      </c>
      <c r="H570" s="0">
        <v>12</v>
      </c>
      <c r="I570" s="0">
        <v>55</v>
      </c>
      <c r="J570" s="0">
        <v>2103</v>
      </c>
    </row>
    <row r="571">
      <c r="A571" s="0" t="s">
        <v>28</v>
      </c>
      <c r="B571" s="0" t="s">
        <v>30</v>
      </c>
      <c r="C571" s="0" t="s">
        <v>194</v>
      </c>
      <c r="D571" s="0" t="s">
        <v>307</v>
      </c>
      <c r="E571" s="0" t="s">
        <v>154</v>
      </c>
      <c r="F571" s="0" t="s">
        <v>403</v>
      </c>
      <c r="G571" s="0" t="s">
        <v>404</v>
      </c>
      <c r="H571" s="0">
        <v>12</v>
      </c>
      <c r="I571" s="0">
        <v>55</v>
      </c>
      <c r="J571" s="0">
        <v>2103</v>
      </c>
    </row>
    <row r="572">
      <c r="A572" s="0" t="s">
        <v>28</v>
      </c>
      <c r="B572" s="0" t="s">
        <v>30</v>
      </c>
      <c r="C572" s="0" t="s">
        <v>194</v>
      </c>
      <c r="D572" s="0" t="s">
        <v>307</v>
      </c>
      <c r="E572" s="0" t="s">
        <v>154</v>
      </c>
      <c r="F572" s="0" t="s">
        <v>462</v>
      </c>
      <c r="G572" s="0" t="s">
        <v>463</v>
      </c>
      <c r="H572" s="0">
        <v>12</v>
      </c>
      <c r="I572" s="0">
        <v>55</v>
      </c>
      <c r="J572" s="0">
        <v>2103</v>
      </c>
    </row>
    <row r="573">
      <c r="A573" s="0" t="s">
        <v>28</v>
      </c>
      <c r="B573" s="0" t="s">
        <v>30</v>
      </c>
      <c r="C573" s="0" t="s">
        <v>194</v>
      </c>
      <c r="D573" s="0" t="s">
        <v>307</v>
      </c>
      <c r="E573" s="0" t="s">
        <v>154</v>
      </c>
      <c r="F573" s="0" t="s">
        <v>464</v>
      </c>
      <c r="G573" s="0" t="s">
        <v>269</v>
      </c>
      <c r="H573" s="0">
        <v>12</v>
      </c>
      <c r="I573" s="0">
        <v>55</v>
      </c>
      <c r="J573" s="0">
        <v>2103</v>
      </c>
    </row>
    <row r="574">
      <c r="A574" s="0" t="s">
        <v>28</v>
      </c>
      <c r="B574" s="0" t="s">
        <v>30</v>
      </c>
      <c r="C574" s="0" t="s">
        <v>194</v>
      </c>
      <c r="D574" s="0" t="s">
        <v>307</v>
      </c>
      <c r="E574" s="0" t="s">
        <v>154</v>
      </c>
      <c r="F574" s="0" t="s">
        <v>427</v>
      </c>
      <c r="G574" s="0" t="s">
        <v>465</v>
      </c>
      <c r="H574" s="0">
        <v>12</v>
      </c>
      <c r="I574" s="0">
        <v>55</v>
      </c>
      <c r="J574" s="0">
        <v>2103</v>
      </c>
    </row>
    <row r="575">
      <c r="A575" s="0" t="s">
        <v>28</v>
      </c>
      <c r="B575" s="0" t="s">
        <v>30</v>
      </c>
      <c r="C575" s="0" t="s">
        <v>194</v>
      </c>
      <c r="D575" s="0" t="s">
        <v>307</v>
      </c>
      <c r="E575" s="0" t="s">
        <v>154</v>
      </c>
      <c r="F575" s="0" t="s">
        <v>429</v>
      </c>
      <c r="G575" s="0" t="s">
        <v>563</v>
      </c>
      <c r="H575" s="0">
        <v>12</v>
      </c>
      <c r="I575" s="0">
        <v>55</v>
      </c>
      <c r="J575" s="0">
        <v>2103</v>
      </c>
    </row>
    <row r="576">
      <c r="A576" s="0" t="s">
        <v>28</v>
      </c>
      <c r="B576" s="0" t="s">
        <v>30</v>
      </c>
      <c r="C576" s="0" t="s">
        <v>194</v>
      </c>
      <c r="D576" s="0" t="s">
        <v>307</v>
      </c>
      <c r="E576" s="0" t="s">
        <v>154</v>
      </c>
      <c r="F576" s="0" t="s">
        <v>467</v>
      </c>
      <c r="G576" s="0" t="s">
        <v>270</v>
      </c>
      <c r="H576" s="0">
        <v>12</v>
      </c>
      <c r="I576" s="0">
        <v>55</v>
      </c>
      <c r="J576" s="0">
        <v>2103</v>
      </c>
    </row>
    <row r="577">
      <c r="A577" s="0" t="s">
        <v>28</v>
      </c>
      <c r="B577" s="0" t="s">
        <v>30</v>
      </c>
      <c r="C577" s="0" t="s">
        <v>194</v>
      </c>
      <c r="D577" s="0" t="s">
        <v>307</v>
      </c>
      <c r="E577" s="0" t="s">
        <v>154</v>
      </c>
      <c r="F577" s="0" t="s">
        <v>468</v>
      </c>
      <c r="G577" s="0" t="s">
        <v>271</v>
      </c>
      <c r="H577" s="0">
        <v>12</v>
      </c>
      <c r="I577" s="0">
        <v>55</v>
      </c>
      <c r="J577" s="0">
        <v>2103</v>
      </c>
    </row>
    <row r="578">
      <c r="A578" s="0" t="s">
        <v>28</v>
      </c>
      <c r="B578" s="0" t="s">
        <v>30</v>
      </c>
      <c r="C578" s="0" t="s">
        <v>194</v>
      </c>
      <c r="D578" s="0" t="s">
        <v>307</v>
      </c>
      <c r="E578" s="0" t="s">
        <v>154</v>
      </c>
      <c r="F578" s="0" t="s">
        <v>369</v>
      </c>
      <c r="G578" s="0" t="s">
        <v>405</v>
      </c>
      <c r="H578" s="0">
        <v>12</v>
      </c>
      <c r="I578" s="0">
        <v>55</v>
      </c>
      <c r="J578" s="0">
        <v>2103</v>
      </c>
    </row>
    <row r="579">
      <c r="A579" s="0" t="s">
        <v>28</v>
      </c>
      <c r="B579" s="0" t="s">
        <v>30</v>
      </c>
      <c r="C579" s="0" t="s">
        <v>194</v>
      </c>
      <c r="D579" s="0" t="s">
        <v>307</v>
      </c>
      <c r="E579" s="0" t="s">
        <v>154</v>
      </c>
      <c r="F579" s="0" t="s">
        <v>469</v>
      </c>
      <c r="G579" s="0" t="s">
        <v>470</v>
      </c>
      <c r="H579" s="0">
        <v>12</v>
      </c>
      <c r="I579" s="0">
        <v>55</v>
      </c>
      <c r="J579" s="0">
        <v>2103</v>
      </c>
    </row>
    <row r="580">
      <c r="A580" s="0" t="s">
        <v>28</v>
      </c>
      <c r="B580" s="0" t="s">
        <v>30</v>
      </c>
      <c r="C580" s="0" t="s">
        <v>194</v>
      </c>
      <c r="D580" s="0" t="s">
        <v>307</v>
      </c>
      <c r="E580" s="0" t="s">
        <v>154</v>
      </c>
      <c r="F580" s="0" t="s">
        <v>471</v>
      </c>
      <c r="G580" s="0" t="s">
        <v>272</v>
      </c>
      <c r="H580" s="0">
        <v>12</v>
      </c>
      <c r="I580" s="0">
        <v>55</v>
      </c>
      <c r="J580" s="0">
        <v>2103</v>
      </c>
    </row>
    <row r="581">
      <c r="A581" s="0" t="s">
        <v>28</v>
      </c>
      <c r="B581" s="0" t="s">
        <v>30</v>
      </c>
      <c r="C581" s="0" t="s">
        <v>194</v>
      </c>
      <c r="D581" s="0" t="s">
        <v>307</v>
      </c>
      <c r="E581" s="0" t="s">
        <v>154</v>
      </c>
      <c r="F581" s="0" t="s">
        <v>472</v>
      </c>
      <c r="G581" s="0" t="s">
        <v>473</v>
      </c>
      <c r="H581" s="0">
        <v>12</v>
      </c>
      <c r="I581" s="0">
        <v>55</v>
      </c>
      <c r="J581" s="0">
        <v>2103</v>
      </c>
    </row>
    <row r="582">
      <c r="A582" s="0" t="s">
        <v>28</v>
      </c>
      <c r="B582" s="0" t="s">
        <v>30</v>
      </c>
      <c r="C582" s="0" t="s">
        <v>194</v>
      </c>
      <c r="D582" s="0" t="s">
        <v>307</v>
      </c>
      <c r="E582" s="0" t="s">
        <v>154</v>
      </c>
      <c r="F582" s="0" t="s">
        <v>474</v>
      </c>
      <c r="G582" s="0" t="s">
        <v>272</v>
      </c>
      <c r="H582" s="0">
        <v>12</v>
      </c>
      <c r="I582" s="0">
        <v>55</v>
      </c>
      <c r="J582" s="0">
        <v>2103</v>
      </c>
    </row>
    <row r="583">
      <c r="A583" s="0" t="s">
        <v>28</v>
      </c>
      <c r="B583" s="0" t="s">
        <v>30</v>
      </c>
      <c r="C583" s="0" t="s">
        <v>194</v>
      </c>
      <c r="D583" s="0" t="s">
        <v>307</v>
      </c>
      <c r="E583" s="0" t="s">
        <v>154</v>
      </c>
      <c r="F583" s="0" t="s">
        <v>475</v>
      </c>
      <c r="G583" s="0" t="s">
        <v>476</v>
      </c>
      <c r="H583" s="0">
        <v>12</v>
      </c>
      <c r="I583" s="0">
        <v>55</v>
      </c>
      <c r="J583" s="0">
        <v>2103</v>
      </c>
    </row>
    <row r="584">
      <c r="A584" s="0" t="s">
        <v>28</v>
      </c>
      <c r="B584" s="0" t="s">
        <v>30</v>
      </c>
      <c r="C584" s="0" t="s">
        <v>194</v>
      </c>
      <c r="D584" s="0" t="s">
        <v>307</v>
      </c>
      <c r="E584" s="0" t="s">
        <v>154</v>
      </c>
      <c r="F584" s="0" t="s">
        <v>477</v>
      </c>
      <c r="G584" s="0" t="s">
        <v>478</v>
      </c>
      <c r="H584" s="0">
        <v>12</v>
      </c>
      <c r="I584" s="0">
        <v>55</v>
      </c>
      <c r="J584" s="0">
        <v>2103</v>
      </c>
    </row>
    <row r="585">
      <c r="A585" s="0" t="s">
        <v>28</v>
      </c>
      <c r="B585" s="0" t="s">
        <v>30</v>
      </c>
      <c r="C585" s="0" t="s">
        <v>194</v>
      </c>
      <c r="D585" s="0" t="s">
        <v>307</v>
      </c>
      <c r="E585" s="0" t="s">
        <v>154</v>
      </c>
      <c r="F585" s="0" t="s">
        <v>479</v>
      </c>
      <c r="G585" s="0" t="s">
        <v>273</v>
      </c>
      <c r="H585" s="0">
        <v>12</v>
      </c>
      <c r="I585" s="0">
        <v>55</v>
      </c>
      <c r="J585" s="0">
        <v>2103</v>
      </c>
    </row>
    <row r="586">
      <c r="A586" s="0" t="s">
        <v>28</v>
      </c>
      <c r="B586" s="0" t="s">
        <v>30</v>
      </c>
      <c r="C586" s="0" t="s">
        <v>194</v>
      </c>
      <c r="D586" s="0" t="s">
        <v>307</v>
      </c>
      <c r="E586" s="0" t="s">
        <v>154</v>
      </c>
      <c r="F586" s="0" t="s">
        <v>480</v>
      </c>
      <c r="G586" s="0" t="s">
        <v>274</v>
      </c>
      <c r="H586" s="0">
        <v>12</v>
      </c>
      <c r="I586" s="0">
        <v>55</v>
      </c>
      <c r="J586" s="0">
        <v>2103</v>
      </c>
    </row>
    <row r="587">
      <c r="A587" s="0" t="s">
        <v>28</v>
      </c>
      <c r="B587" s="0" t="s">
        <v>30</v>
      </c>
      <c r="C587" s="0" t="s">
        <v>194</v>
      </c>
      <c r="D587" s="0" t="s">
        <v>307</v>
      </c>
      <c r="E587" s="0" t="s">
        <v>154</v>
      </c>
      <c r="F587" s="0" t="s">
        <v>481</v>
      </c>
      <c r="G587" s="0" t="s">
        <v>275</v>
      </c>
      <c r="H587" s="0">
        <v>12</v>
      </c>
      <c r="I587" s="0">
        <v>55</v>
      </c>
      <c r="J587" s="0">
        <v>2103</v>
      </c>
    </row>
    <row r="588">
      <c r="A588" s="0" t="s">
        <v>28</v>
      </c>
      <c r="B588" s="0" t="s">
        <v>30</v>
      </c>
      <c r="C588" s="0" t="s">
        <v>194</v>
      </c>
      <c r="D588" s="0" t="s">
        <v>307</v>
      </c>
      <c r="E588" s="0" t="s">
        <v>154</v>
      </c>
      <c r="F588" s="0" t="s">
        <v>482</v>
      </c>
      <c r="G588" s="0" t="s">
        <v>483</v>
      </c>
      <c r="H588" s="0">
        <v>12</v>
      </c>
      <c r="I588" s="0">
        <v>55</v>
      </c>
      <c r="J588" s="0">
        <v>2103</v>
      </c>
    </row>
    <row r="589">
      <c r="A589" s="0" t="s">
        <v>28</v>
      </c>
      <c r="B589" s="0" t="s">
        <v>30</v>
      </c>
      <c r="C589" s="0" t="s">
        <v>194</v>
      </c>
      <c r="D589" s="0" t="s">
        <v>307</v>
      </c>
      <c r="E589" s="0" t="s">
        <v>154</v>
      </c>
      <c r="F589" s="0" t="s">
        <v>484</v>
      </c>
      <c r="G589" s="0" t="s">
        <v>272</v>
      </c>
      <c r="H589" s="0">
        <v>12</v>
      </c>
      <c r="I589" s="0">
        <v>55</v>
      </c>
      <c r="J589" s="0">
        <v>2103</v>
      </c>
    </row>
    <row r="590">
      <c r="A590" s="0" t="s">
        <v>28</v>
      </c>
      <c r="B590" s="0" t="s">
        <v>30</v>
      </c>
      <c r="C590" s="0" t="s">
        <v>194</v>
      </c>
      <c r="D590" s="0" t="s">
        <v>307</v>
      </c>
      <c r="E590" s="0" t="s">
        <v>154</v>
      </c>
      <c r="F590" s="0" t="s">
        <v>485</v>
      </c>
      <c r="G590" s="0" t="s">
        <v>473</v>
      </c>
      <c r="H590" s="0">
        <v>12</v>
      </c>
      <c r="I590" s="0">
        <v>55</v>
      </c>
      <c r="J590" s="0">
        <v>2103</v>
      </c>
    </row>
    <row r="591">
      <c r="A591" s="0" t="s">
        <v>28</v>
      </c>
      <c r="B591" s="0" t="s">
        <v>30</v>
      </c>
      <c r="C591" s="0" t="s">
        <v>194</v>
      </c>
      <c r="D591" s="0" t="s">
        <v>307</v>
      </c>
      <c r="E591" s="0" t="s">
        <v>154</v>
      </c>
      <c r="F591" s="0" t="s">
        <v>486</v>
      </c>
      <c r="G591" s="0" t="s">
        <v>272</v>
      </c>
      <c r="H591" s="0">
        <v>12</v>
      </c>
      <c r="I591" s="0">
        <v>55</v>
      </c>
      <c r="J591" s="0">
        <v>2103</v>
      </c>
    </row>
    <row r="592">
      <c r="A592" s="0" t="s">
        <v>28</v>
      </c>
      <c r="B592" s="0" t="s">
        <v>30</v>
      </c>
      <c r="C592" s="0" t="s">
        <v>194</v>
      </c>
      <c r="D592" s="0" t="s">
        <v>307</v>
      </c>
      <c r="E592" s="0" t="s">
        <v>154</v>
      </c>
      <c r="F592" s="0" t="s">
        <v>487</v>
      </c>
      <c r="G592" s="0" t="s">
        <v>276</v>
      </c>
      <c r="H592" s="0">
        <v>12</v>
      </c>
      <c r="I592" s="0">
        <v>55</v>
      </c>
      <c r="J592" s="0">
        <v>2103</v>
      </c>
    </row>
    <row r="593">
      <c r="A593" s="0" t="s">
        <v>28</v>
      </c>
      <c r="B593" s="0" t="s">
        <v>30</v>
      </c>
      <c r="C593" s="0" t="s">
        <v>194</v>
      </c>
      <c r="D593" s="0" t="s">
        <v>307</v>
      </c>
      <c r="E593" s="0" t="s">
        <v>154</v>
      </c>
      <c r="F593" s="0" t="s">
        <v>488</v>
      </c>
      <c r="G593" s="0" t="s">
        <v>489</v>
      </c>
      <c r="H593" s="0">
        <v>12</v>
      </c>
      <c r="I593" s="0">
        <v>55</v>
      </c>
      <c r="J593" s="0">
        <v>2103</v>
      </c>
    </row>
    <row r="594">
      <c r="A594" s="0" t="s">
        <v>28</v>
      </c>
      <c r="B594" s="0" t="s">
        <v>30</v>
      </c>
      <c r="C594" s="0" t="s">
        <v>194</v>
      </c>
      <c r="D594" s="0" t="s">
        <v>307</v>
      </c>
      <c r="E594" s="0" t="s">
        <v>154</v>
      </c>
      <c r="F594" s="0" t="s">
        <v>490</v>
      </c>
      <c r="G594" s="0" t="s">
        <v>491</v>
      </c>
      <c r="H594" s="0">
        <v>12</v>
      </c>
      <c r="I594" s="0">
        <v>55</v>
      </c>
      <c r="J594" s="0">
        <v>2103</v>
      </c>
    </row>
    <row r="595">
      <c r="A595" s="0" t="s">
        <v>28</v>
      </c>
      <c r="B595" s="0" t="s">
        <v>30</v>
      </c>
      <c r="C595" s="0" t="s">
        <v>194</v>
      </c>
      <c r="D595" s="0" t="s">
        <v>307</v>
      </c>
      <c r="E595" s="0" t="s">
        <v>154</v>
      </c>
      <c r="F595" s="0" t="s">
        <v>492</v>
      </c>
      <c r="G595" s="0" t="s">
        <v>493</v>
      </c>
      <c r="H595" s="0">
        <v>12</v>
      </c>
      <c r="I595" s="0">
        <v>55</v>
      </c>
      <c r="J595" s="0">
        <v>2103</v>
      </c>
    </row>
    <row r="596">
      <c r="A596" s="0" t="s">
        <v>28</v>
      </c>
      <c r="B596" s="0" t="s">
        <v>30</v>
      </c>
      <c r="C596" s="0" t="s">
        <v>194</v>
      </c>
      <c r="D596" s="0" t="s">
        <v>307</v>
      </c>
      <c r="E596" s="0" t="s">
        <v>154</v>
      </c>
      <c r="F596" s="0" t="s">
        <v>494</v>
      </c>
      <c r="G596" s="0" t="s">
        <v>277</v>
      </c>
      <c r="H596" s="0">
        <v>12</v>
      </c>
      <c r="I596" s="0">
        <v>55</v>
      </c>
      <c r="J596" s="0">
        <v>2103</v>
      </c>
    </row>
    <row r="597">
      <c r="A597" s="0" t="s">
        <v>28</v>
      </c>
      <c r="B597" s="0" t="s">
        <v>30</v>
      </c>
      <c r="C597" s="0" t="s">
        <v>194</v>
      </c>
      <c r="D597" s="0" t="s">
        <v>307</v>
      </c>
      <c r="E597" s="0" t="s">
        <v>154</v>
      </c>
      <c r="F597" s="0" t="s">
        <v>495</v>
      </c>
      <c r="G597" s="0" t="s">
        <v>257</v>
      </c>
      <c r="H597" s="0">
        <v>12</v>
      </c>
      <c r="I597" s="0">
        <v>55</v>
      </c>
      <c r="J597" s="0">
        <v>2103</v>
      </c>
    </row>
    <row r="598">
      <c r="A598" s="0" t="s">
        <v>28</v>
      </c>
      <c r="B598" s="0" t="s">
        <v>30</v>
      </c>
      <c r="C598" s="0" t="s">
        <v>194</v>
      </c>
      <c r="D598" s="0" t="s">
        <v>307</v>
      </c>
      <c r="E598" s="0" t="s">
        <v>154</v>
      </c>
      <c r="F598" s="0" t="s">
        <v>496</v>
      </c>
      <c r="G598" s="0" t="s">
        <v>286</v>
      </c>
      <c r="H598" s="0">
        <v>12</v>
      </c>
      <c r="I598" s="0">
        <v>55</v>
      </c>
      <c r="J598" s="0">
        <v>2103</v>
      </c>
    </row>
    <row r="599">
      <c r="A599" s="0" t="s">
        <v>28</v>
      </c>
      <c r="B599" s="0" t="s">
        <v>30</v>
      </c>
      <c r="C599" s="0" t="s">
        <v>194</v>
      </c>
      <c r="D599" s="0" t="s">
        <v>307</v>
      </c>
      <c r="E599" s="0" t="s">
        <v>154</v>
      </c>
      <c r="F599" s="0" t="s">
        <v>497</v>
      </c>
      <c r="G599" s="0" t="s">
        <v>498</v>
      </c>
      <c r="H599" s="0">
        <v>12</v>
      </c>
      <c r="I599" s="0">
        <v>55</v>
      </c>
      <c r="J599" s="0">
        <v>2103</v>
      </c>
    </row>
    <row r="600">
      <c r="A600" s="0" t="s">
        <v>28</v>
      </c>
      <c r="B600" s="0" t="s">
        <v>30</v>
      </c>
      <c r="C600" s="0" t="s">
        <v>194</v>
      </c>
      <c r="D600" s="0" t="s">
        <v>307</v>
      </c>
      <c r="E600" s="0" t="s">
        <v>154</v>
      </c>
      <c r="F600" s="0" t="s">
        <v>499</v>
      </c>
      <c r="G600" s="0" t="s">
        <v>564</v>
      </c>
      <c r="H600" s="0">
        <v>12</v>
      </c>
      <c r="I600" s="0">
        <v>55</v>
      </c>
      <c r="J600" s="0">
        <v>2103</v>
      </c>
    </row>
    <row r="601">
      <c r="A601" s="0" t="s">
        <v>28</v>
      </c>
      <c r="B601" s="0" t="s">
        <v>30</v>
      </c>
      <c r="C601" s="0" t="s">
        <v>194</v>
      </c>
      <c r="D601" s="0" t="s">
        <v>307</v>
      </c>
      <c r="E601" s="0" t="s">
        <v>154</v>
      </c>
      <c r="F601" s="0" t="s">
        <v>501</v>
      </c>
      <c r="G601" s="0" t="s">
        <v>502</v>
      </c>
      <c r="H601" s="0">
        <v>12</v>
      </c>
      <c r="I601" s="0">
        <v>55</v>
      </c>
      <c r="J601" s="0">
        <v>2103</v>
      </c>
    </row>
    <row r="602">
      <c r="A602" s="0" t="s">
        <v>28</v>
      </c>
      <c r="B602" s="0" t="s">
        <v>30</v>
      </c>
      <c r="C602" s="0" t="s">
        <v>194</v>
      </c>
      <c r="D602" s="0" t="s">
        <v>307</v>
      </c>
      <c r="E602" s="0" t="s">
        <v>154</v>
      </c>
      <c r="F602" s="0" t="s">
        <v>503</v>
      </c>
      <c r="G602" s="0" t="s">
        <v>504</v>
      </c>
      <c r="H602" s="0">
        <v>12</v>
      </c>
      <c r="I602" s="0">
        <v>55</v>
      </c>
      <c r="J602" s="0">
        <v>2103</v>
      </c>
    </row>
    <row r="603">
      <c r="A603" s="0" t="s">
        <v>28</v>
      </c>
      <c r="B603" s="0" t="s">
        <v>30</v>
      </c>
      <c r="C603" s="0" t="s">
        <v>194</v>
      </c>
      <c r="D603" s="0" t="s">
        <v>307</v>
      </c>
      <c r="E603" s="0" t="s">
        <v>154</v>
      </c>
      <c r="F603" s="0" t="s">
        <v>505</v>
      </c>
      <c r="G603" s="0" t="s">
        <v>506</v>
      </c>
      <c r="H603" s="0">
        <v>12</v>
      </c>
      <c r="I603" s="0">
        <v>55</v>
      </c>
      <c r="J603" s="0">
        <v>2103</v>
      </c>
    </row>
    <row r="604">
      <c r="A604" s="0" t="s">
        <v>28</v>
      </c>
      <c r="B604" s="0" t="s">
        <v>30</v>
      </c>
      <c r="C604" s="0" t="s">
        <v>194</v>
      </c>
      <c r="D604" s="0" t="s">
        <v>307</v>
      </c>
      <c r="E604" s="0" t="s">
        <v>154</v>
      </c>
      <c r="F604" s="0" t="s">
        <v>507</v>
      </c>
      <c r="G604" s="0" t="s">
        <v>508</v>
      </c>
      <c r="H604" s="0">
        <v>12</v>
      </c>
      <c r="I604" s="0">
        <v>55</v>
      </c>
      <c r="J604" s="0">
        <v>2103</v>
      </c>
    </row>
    <row r="605">
      <c r="A605" s="0" t="s">
        <v>28</v>
      </c>
      <c r="B605" s="0" t="s">
        <v>30</v>
      </c>
      <c r="C605" s="0" t="s">
        <v>194</v>
      </c>
      <c r="D605" s="0" t="s">
        <v>307</v>
      </c>
      <c r="E605" s="0" t="s">
        <v>154</v>
      </c>
      <c r="F605" s="0" t="s">
        <v>509</v>
      </c>
      <c r="G605" s="0" t="s">
        <v>114</v>
      </c>
      <c r="H605" s="0">
        <v>12</v>
      </c>
      <c r="I605" s="0">
        <v>55</v>
      </c>
      <c r="J605" s="0">
        <v>2103</v>
      </c>
    </row>
    <row r="606">
      <c r="A606" s="0" t="s">
        <v>28</v>
      </c>
      <c r="B606" s="0" t="s">
        <v>30</v>
      </c>
      <c r="C606" s="0" t="s">
        <v>194</v>
      </c>
      <c r="D606" s="0" t="s">
        <v>307</v>
      </c>
      <c r="E606" s="0" t="s">
        <v>154</v>
      </c>
      <c r="F606" s="0" t="s">
        <v>510</v>
      </c>
      <c r="G606" s="0" t="s">
        <v>511</v>
      </c>
      <c r="H606" s="0">
        <v>12</v>
      </c>
      <c r="I606" s="0">
        <v>55</v>
      </c>
      <c r="J606" s="0">
        <v>2103</v>
      </c>
    </row>
    <row r="607">
      <c r="A607" s="0" t="s">
        <v>28</v>
      </c>
      <c r="B607" s="0" t="s">
        <v>30</v>
      </c>
      <c r="C607" s="0" t="s">
        <v>194</v>
      </c>
      <c r="D607" s="0" t="s">
        <v>307</v>
      </c>
      <c r="E607" s="0" t="s">
        <v>154</v>
      </c>
      <c r="F607" s="0" t="s">
        <v>512</v>
      </c>
      <c r="G607" s="0" t="s">
        <v>554</v>
      </c>
      <c r="H607" s="0">
        <v>12</v>
      </c>
      <c r="I607" s="0">
        <v>55</v>
      </c>
      <c r="J607" s="0">
        <v>2103</v>
      </c>
    </row>
    <row r="608">
      <c r="A608" s="0" t="s">
        <v>28</v>
      </c>
      <c r="B608" s="0" t="s">
        <v>30</v>
      </c>
      <c r="C608" s="0" t="s">
        <v>194</v>
      </c>
      <c r="D608" s="0" t="s">
        <v>307</v>
      </c>
      <c r="E608" s="0" t="s">
        <v>154</v>
      </c>
      <c r="F608" s="0" t="s">
        <v>514</v>
      </c>
      <c r="G608" s="0" t="s">
        <v>515</v>
      </c>
      <c r="H608" s="0">
        <v>12</v>
      </c>
      <c r="I608" s="0">
        <v>55</v>
      </c>
      <c r="J608" s="0">
        <v>2103</v>
      </c>
    </row>
    <row r="609">
      <c r="A609" s="0" t="s">
        <v>28</v>
      </c>
      <c r="B609" s="0" t="s">
        <v>30</v>
      </c>
      <c r="C609" s="0" t="s">
        <v>194</v>
      </c>
      <c r="D609" s="0" t="s">
        <v>307</v>
      </c>
      <c r="E609" s="0" t="s">
        <v>154</v>
      </c>
      <c r="F609" s="0" t="s">
        <v>516</v>
      </c>
      <c r="G609" s="0" t="s">
        <v>450</v>
      </c>
      <c r="H609" s="0">
        <v>12</v>
      </c>
      <c r="I609" s="0">
        <v>55</v>
      </c>
      <c r="J609" s="0">
        <v>2103</v>
      </c>
    </row>
    <row r="610">
      <c r="A610" s="0" t="s">
        <v>28</v>
      </c>
      <c r="B610" s="0" t="s">
        <v>30</v>
      </c>
      <c r="C610" s="0" t="s">
        <v>194</v>
      </c>
      <c r="D610" s="0" t="s">
        <v>307</v>
      </c>
      <c r="E610" s="0" t="s">
        <v>154</v>
      </c>
      <c r="F610" s="0" t="s">
        <v>517</v>
      </c>
      <c r="G610" s="0" t="s">
        <v>518</v>
      </c>
      <c r="H610" s="0">
        <v>12</v>
      </c>
      <c r="I610" s="0">
        <v>55</v>
      </c>
      <c r="J610" s="0">
        <v>2103</v>
      </c>
    </row>
    <row r="611">
      <c r="A611" s="0" t="s">
        <v>28</v>
      </c>
      <c r="B611" s="0" t="s">
        <v>30</v>
      </c>
      <c r="C611" s="0" t="s">
        <v>194</v>
      </c>
      <c r="D611" s="0" t="s">
        <v>307</v>
      </c>
      <c r="E611" s="0" t="s">
        <v>154</v>
      </c>
      <c r="F611" s="0" t="s">
        <v>519</v>
      </c>
      <c r="G611" s="0" t="s">
        <v>520</v>
      </c>
      <c r="H611" s="0">
        <v>12</v>
      </c>
      <c r="I611" s="0">
        <v>55</v>
      </c>
      <c r="J611" s="0">
        <v>2103</v>
      </c>
    </row>
    <row r="612">
      <c r="A612" s="0" t="s">
        <v>28</v>
      </c>
      <c r="B612" s="0" t="s">
        <v>30</v>
      </c>
      <c r="C612" s="0" t="s">
        <v>194</v>
      </c>
      <c r="D612" s="0" t="s">
        <v>307</v>
      </c>
      <c r="E612" s="0" t="s">
        <v>154</v>
      </c>
      <c r="F612" s="0" t="s">
        <v>521</v>
      </c>
      <c r="G612" s="0" t="s">
        <v>341</v>
      </c>
      <c r="H612" s="0">
        <v>12</v>
      </c>
      <c r="I612" s="0">
        <v>55</v>
      </c>
      <c r="J612" s="0">
        <v>2103</v>
      </c>
    </row>
    <row r="613">
      <c r="A613" s="0" t="s">
        <v>28</v>
      </c>
      <c r="B613" s="0" t="s">
        <v>30</v>
      </c>
      <c r="C613" s="0" t="s">
        <v>194</v>
      </c>
      <c r="D613" s="0" t="s">
        <v>307</v>
      </c>
      <c r="E613" s="0" t="s">
        <v>154</v>
      </c>
      <c r="F613" s="0" t="s">
        <v>522</v>
      </c>
      <c r="G613" s="0" t="s">
        <v>523</v>
      </c>
      <c r="H613" s="0">
        <v>12</v>
      </c>
      <c r="I613" s="0">
        <v>55</v>
      </c>
      <c r="J613" s="0">
        <v>2103</v>
      </c>
    </row>
    <row r="614">
      <c r="A614" s="0" t="s">
        <v>28</v>
      </c>
      <c r="B614" s="0" t="s">
        <v>30</v>
      </c>
      <c r="C614" s="0" t="s">
        <v>194</v>
      </c>
      <c r="D614" s="0" t="s">
        <v>307</v>
      </c>
      <c r="E614" s="0" t="s">
        <v>154</v>
      </c>
      <c r="F614" s="0" t="s">
        <v>524</v>
      </c>
      <c r="G614" s="0" t="s">
        <v>416</v>
      </c>
      <c r="H614" s="0">
        <v>12</v>
      </c>
      <c r="I614" s="0">
        <v>55</v>
      </c>
      <c r="J614" s="0">
        <v>2103</v>
      </c>
    </row>
    <row r="615">
      <c r="A615" s="0" t="s">
        <v>28</v>
      </c>
      <c r="B615" s="0" t="s">
        <v>30</v>
      </c>
      <c r="C615" s="0" t="s">
        <v>194</v>
      </c>
      <c r="D615" s="0" t="s">
        <v>307</v>
      </c>
      <c r="E615" s="0" t="s">
        <v>154</v>
      </c>
      <c r="F615" s="0" t="s">
        <v>526</v>
      </c>
      <c r="G615" s="0" t="s">
        <v>565</v>
      </c>
      <c r="H615" s="0">
        <v>12</v>
      </c>
      <c r="I615" s="0">
        <v>55</v>
      </c>
      <c r="J615" s="0">
        <v>2103</v>
      </c>
    </row>
    <row r="616">
      <c r="A616" s="0" t="s">
        <v>28</v>
      </c>
      <c r="B616" s="0" t="s">
        <v>30</v>
      </c>
      <c r="C616" s="0" t="s">
        <v>194</v>
      </c>
      <c r="D616" s="0" t="s">
        <v>307</v>
      </c>
      <c r="E616" s="0" t="s">
        <v>154</v>
      </c>
      <c r="F616" s="0" t="s">
        <v>528</v>
      </c>
      <c r="G616" s="0" t="s">
        <v>529</v>
      </c>
      <c r="H616" s="0">
        <v>12</v>
      </c>
      <c r="I616" s="0">
        <v>55</v>
      </c>
      <c r="J616" s="0">
        <v>2103</v>
      </c>
    </row>
    <row r="617">
      <c r="A617" s="0" t="s">
        <v>28</v>
      </c>
      <c r="B617" s="0" t="s">
        <v>30</v>
      </c>
      <c r="C617" s="0" t="s">
        <v>194</v>
      </c>
      <c r="D617" s="0" t="s">
        <v>307</v>
      </c>
      <c r="E617" s="0" t="s">
        <v>154</v>
      </c>
      <c r="F617" s="0" t="s">
        <v>530</v>
      </c>
      <c r="G617" s="0" t="s">
        <v>309</v>
      </c>
      <c r="H617" s="0">
        <v>12</v>
      </c>
      <c r="I617" s="0">
        <v>55</v>
      </c>
      <c r="J617" s="0">
        <v>2103</v>
      </c>
    </row>
    <row r="618">
      <c r="A618" s="0" t="s">
        <v>28</v>
      </c>
      <c r="B618" s="0" t="s">
        <v>30</v>
      </c>
      <c r="C618" s="0" t="s">
        <v>194</v>
      </c>
      <c r="D618" s="0" t="s">
        <v>307</v>
      </c>
      <c r="E618" s="0" t="s">
        <v>154</v>
      </c>
      <c r="F618" s="0" t="s">
        <v>531</v>
      </c>
      <c r="G618" s="0" t="s">
        <v>532</v>
      </c>
      <c r="H618" s="0">
        <v>12</v>
      </c>
      <c r="I618" s="0">
        <v>55</v>
      </c>
      <c r="J618" s="0">
        <v>2103</v>
      </c>
    </row>
    <row r="619">
      <c r="A619" s="0" t="s">
        <v>28</v>
      </c>
      <c r="B619" s="0" t="s">
        <v>30</v>
      </c>
      <c r="C619" s="0" t="s">
        <v>194</v>
      </c>
      <c r="D619" s="0" t="s">
        <v>307</v>
      </c>
      <c r="E619" s="0" t="s">
        <v>154</v>
      </c>
      <c r="F619" s="0" t="s">
        <v>406</v>
      </c>
      <c r="G619" s="0" t="s">
        <v>407</v>
      </c>
      <c r="H619" s="0">
        <v>12</v>
      </c>
      <c r="I619" s="0">
        <v>55</v>
      </c>
      <c r="J619" s="0">
        <v>2103</v>
      </c>
    </row>
    <row r="620">
      <c r="A620" s="0" t="s">
        <v>28</v>
      </c>
      <c r="B620" s="0" t="s">
        <v>30</v>
      </c>
      <c r="C620" s="0" t="s">
        <v>194</v>
      </c>
      <c r="D620" s="0" t="s">
        <v>307</v>
      </c>
      <c r="E620" s="0" t="s">
        <v>154</v>
      </c>
      <c r="F620" s="0" t="s">
        <v>408</v>
      </c>
      <c r="G620" s="0" t="s">
        <v>409</v>
      </c>
      <c r="H620" s="0">
        <v>12</v>
      </c>
      <c r="I620" s="0">
        <v>55</v>
      </c>
      <c r="J620" s="0">
        <v>2103</v>
      </c>
    </row>
    <row r="621">
      <c r="A621" s="0" t="s">
        <v>28</v>
      </c>
      <c r="B621" s="0" t="s">
        <v>30</v>
      </c>
      <c r="C621" s="0" t="s">
        <v>194</v>
      </c>
      <c r="D621" s="0" t="s">
        <v>307</v>
      </c>
      <c r="E621" s="0" t="s">
        <v>154</v>
      </c>
      <c r="F621" s="0" t="s">
        <v>410</v>
      </c>
      <c r="G621" s="0" t="s">
        <v>344</v>
      </c>
      <c r="H621" s="0">
        <v>12</v>
      </c>
      <c r="I621" s="0">
        <v>55</v>
      </c>
      <c r="J621" s="0">
        <v>2103</v>
      </c>
    </row>
    <row r="622">
      <c r="A622" s="0" t="s">
        <v>28</v>
      </c>
      <c r="B622" s="0" t="s">
        <v>30</v>
      </c>
      <c r="C622" s="0" t="s">
        <v>194</v>
      </c>
      <c r="D622" s="0" t="s">
        <v>307</v>
      </c>
      <c r="E622" s="0" t="s">
        <v>154</v>
      </c>
      <c r="F622" s="0" t="s">
        <v>338</v>
      </c>
      <c r="G622" s="0" t="s">
        <v>411</v>
      </c>
      <c r="H622" s="0">
        <v>12</v>
      </c>
      <c r="I622" s="0">
        <v>55</v>
      </c>
      <c r="J622" s="0">
        <v>2103</v>
      </c>
    </row>
    <row r="623">
      <c r="A623" s="0" t="s">
        <v>28</v>
      </c>
      <c r="B623" s="0" t="s">
        <v>30</v>
      </c>
      <c r="C623" s="0" t="s">
        <v>194</v>
      </c>
      <c r="D623" s="0" t="s">
        <v>307</v>
      </c>
      <c r="E623" s="0" t="s">
        <v>154</v>
      </c>
      <c r="F623" s="0" t="s">
        <v>412</v>
      </c>
      <c r="G623" s="0" t="s">
        <v>413</v>
      </c>
      <c r="H623" s="0">
        <v>12</v>
      </c>
      <c r="I623" s="0">
        <v>55</v>
      </c>
      <c r="J623" s="0">
        <v>2103</v>
      </c>
    </row>
    <row r="624">
      <c r="A624" s="0" t="s">
        <v>28</v>
      </c>
      <c r="B624" s="0" t="s">
        <v>30</v>
      </c>
      <c r="C624" s="0" t="s">
        <v>194</v>
      </c>
      <c r="D624" s="0" t="s">
        <v>307</v>
      </c>
      <c r="E624" s="0" t="s">
        <v>154</v>
      </c>
      <c r="F624" s="0" t="s">
        <v>381</v>
      </c>
      <c r="G624" s="0" t="s">
        <v>414</v>
      </c>
      <c r="H624" s="0">
        <v>12</v>
      </c>
      <c r="I624" s="0">
        <v>55</v>
      </c>
      <c r="J624" s="0">
        <v>2103</v>
      </c>
    </row>
    <row r="625">
      <c r="A625" s="0" t="s">
        <v>28</v>
      </c>
      <c r="B625" s="0" t="s">
        <v>30</v>
      </c>
      <c r="C625" s="0" t="s">
        <v>194</v>
      </c>
      <c r="D625" s="0" t="s">
        <v>307</v>
      </c>
      <c r="E625" s="0" t="s">
        <v>154</v>
      </c>
      <c r="F625" s="0" t="s">
        <v>340</v>
      </c>
      <c r="G625" s="0" t="s">
        <v>341</v>
      </c>
      <c r="H625" s="0">
        <v>12</v>
      </c>
      <c r="I625" s="0">
        <v>55</v>
      </c>
      <c r="J625" s="0">
        <v>2103</v>
      </c>
    </row>
    <row r="626">
      <c r="A626" s="0" t="s">
        <v>28</v>
      </c>
      <c r="B626" s="0" t="s">
        <v>30</v>
      </c>
      <c r="C626" s="0" t="s">
        <v>194</v>
      </c>
      <c r="D626" s="0" t="s">
        <v>307</v>
      </c>
      <c r="E626" s="0" t="s">
        <v>154</v>
      </c>
      <c r="F626" s="0" t="s">
        <v>415</v>
      </c>
      <c r="G626" s="0" t="s">
        <v>416</v>
      </c>
      <c r="H626" s="0">
        <v>12</v>
      </c>
      <c r="I626" s="0">
        <v>55</v>
      </c>
      <c r="J626" s="0">
        <v>2103</v>
      </c>
    </row>
    <row r="627">
      <c r="A627" s="0" t="s">
        <v>28</v>
      </c>
      <c r="B627" s="0" t="s">
        <v>30</v>
      </c>
      <c r="C627" s="0" t="s">
        <v>194</v>
      </c>
      <c r="D627" s="0" t="s">
        <v>307</v>
      </c>
      <c r="E627" s="0" t="s">
        <v>154</v>
      </c>
      <c r="F627" s="0" t="s">
        <v>342</v>
      </c>
      <c r="G627" s="0" t="s">
        <v>341</v>
      </c>
      <c r="H627" s="0">
        <v>12</v>
      </c>
      <c r="I627" s="0">
        <v>55</v>
      </c>
      <c r="J627" s="0">
        <v>2103</v>
      </c>
    </row>
    <row r="628">
      <c r="A628" s="0" t="s">
        <v>28</v>
      </c>
      <c r="B628" s="0" t="s">
        <v>30</v>
      </c>
      <c r="C628" s="0" t="s">
        <v>194</v>
      </c>
      <c r="D628" s="0" t="s">
        <v>307</v>
      </c>
      <c r="E628" s="0" t="s">
        <v>154</v>
      </c>
      <c r="F628" s="0" t="s">
        <v>343</v>
      </c>
      <c r="G628" s="0" t="s">
        <v>344</v>
      </c>
      <c r="H628" s="0">
        <v>12</v>
      </c>
      <c r="I628" s="0">
        <v>55</v>
      </c>
      <c r="J628" s="0">
        <v>2103</v>
      </c>
    </row>
    <row r="629">
      <c r="A629" s="0" t="s">
        <v>28</v>
      </c>
      <c r="B629" s="0" t="s">
        <v>30</v>
      </c>
      <c r="C629" s="0" t="s">
        <v>196</v>
      </c>
      <c r="D629" s="0" t="s">
        <v>311</v>
      </c>
      <c r="E629" s="0" t="s">
        <v>154</v>
      </c>
      <c r="F629" s="0" t="s">
        <v>327</v>
      </c>
      <c r="G629" s="0" t="s">
        <v>30</v>
      </c>
      <c r="H629" s="0">
        <v>12</v>
      </c>
      <c r="I629" s="0">
        <v>47</v>
      </c>
      <c r="J629" s="0">
        <v>2079</v>
      </c>
    </row>
    <row r="630">
      <c r="A630" s="0" t="s">
        <v>28</v>
      </c>
      <c r="B630" s="0" t="s">
        <v>30</v>
      </c>
      <c r="C630" s="0" t="s">
        <v>196</v>
      </c>
      <c r="D630" s="0" t="s">
        <v>311</v>
      </c>
      <c r="E630" s="0" t="s">
        <v>154</v>
      </c>
      <c r="F630" s="0" t="s">
        <v>328</v>
      </c>
      <c r="G630" s="0" t="s">
        <v>311</v>
      </c>
      <c r="H630" s="0">
        <v>12</v>
      </c>
      <c r="I630" s="0">
        <v>47</v>
      </c>
      <c r="J630" s="0">
        <v>2079</v>
      </c>
    </row>
    <row r="631">
      <c r="A631" s="0" t="s">
        <v>28</v>
      </c>
      <c r="B631" s="0" t="s">
        <v>30</v>
      </c>
      <c r="C631" s="0" t="s">
        <v>196</v>
      </c>
      <c r="D631" s="0" t="s">
        <v>311</v>
      </c>
      <c r="E631" s="0" t="s">
        <v>154</v>
      </c>
      <c r="F631" s="0" t="s">
        <v>329</v>
      </c>
      <c r="G631" s="0" t="s">
        <v>196</v>
      </c>
      <c r="H631" s="0">
        <v>12</v>
      </c>
      <c r="I631" s="0">
        <v>47</v>
      </c>
      <c r="J631" s="0">
        <v>2079</v>
      </c>
    </row>
    <row r="632">
      <c r="A632" s="0" t="s">
        <v>28</v>
      </c>
      <c r="B632" s="0" t="s">
        <v>30</v>
      </c>
      <c r="C632" s="0" t="s">
        <v>196</v>
      </c>
      <c r="D632" s="0" t="s">
        <v>311</v>
      </c>
      <c r="E632" s="0" t="s">
        <v>154</v>
      </c>
      <c r="F632" s="0" t="s">
        <v>444</v>
      </c>
      <c r="G632" s="0" t="s">
        <v>566</v>
      </c>
      <c r="H632" s="0">
        <v>12</v>
      </c>
      <c r="I632" s="0">
        <v>47</v>
      </c>
      <c r="J632" s="0">
        <v>2079</v>
      </c>
    </row>
    <row r="633">
      <c r="A633" s="0" t="s">
        <v>28</v>
      </c>
      <c r="B633" s="0" t="s">
        <v>30</v>
      </c>
      <c r="C633" s="0" t="s">
        <v>196</v>
      </c>
      <c r="D633" s="0" t="s">
        <v>311</v>
      </c>
      <c r="E633" s="0" t="s">
        <v>154</v>
      </c>
      <c r="F633" s="0" t="s">
        <v>446</v>
      </c>
      <c r="G633" s="0" t="s">
        <v>341</v>
      </c>
      <c r="H633" s="0">
        <v>12</v>
      </c>
      <c r="I633" s="0">
        <v>47</v>
      </c>
      <c r="J633" s="0">
        <v>2079</v>
      </c>
    </row>
    <row r="634">
      <c r="A634" s="0" t="s">
        <v>28</v>
      </c>
      <c r="B634" s="0" t="s">
        <v>30</v>
      </c>
      <c r="C634" s="0" t="s">
        <v>196</v>
      </c>
      <c r="D634" s="0" t="s">
        <v>311</v>
      </c>
      <c r="E634" s="0" t="s">
        <v>154</v>
      </c>
      <c r="F634" s="0" t="s">
        <v>447</v>
      </c>
      <c r="G634" s="0" t="s">
        <v>448</v>
      </c>
      <c r="H634" s="0">
        <v>12</v>
      </c>
      <c r="I634" s="0">
        <v>47</v>
      </c>
      <c r="J634" s="0">
        <v>2079</v>
      </c>
    </row>
    <row r="635">
      <c r="A635" s="0" t="s">
        <v>28</v>
      </c>
      <c r="B635" s="0" t="s">
        <v>30</v>
      </c>
      <c r="C635" s="0" t="s">
        <v>196</v>
      </c>
      <c r="D635" s="0" t="s">
        <v>311</v>
      </c>
      <c r="E635" s="0" t="s">
        <v>154</v>
      </c>
      <c r="F635" s="0" t="s">
        <v>423</v>
      </c>
      <c r="G635" s="0" t="s">
        <v>424</v>
      </c>
      <c r="H635" s="0">
        <v>12</v>
      </c>
      <c r="I635" s="0">
        <v>47</v>
      </c>
      <c r="J635" s="0">
        <v>2079</v>
      </c>
    </row>
    <row r="636">
      <c r="A636" s="0" t="s">
        <v>28</v>
      </c>
      <c r="B636" s="0" t="s">
        <v>30</v>
      </c>
      <c r="C636" s="0" t="s">
        <v>196</v>
      </c>
      <c r="D636" s="0" t="s">
        <v>311</v>
      </c>
      <c r="E636" s="0" t="s">
        <v>154</v>
      </c>
      <c r="F636" s="0" t="s">
        <v>425</v>
      </c>
      <c r="G636" s="0" t="s">
        <v>424</v>
      </c>
      <c r="H636" s="0">
        <v>12</v>
      </c>
      <c r="I636" s="0">
        <v>47</v>
      </c>
      <c r="J636" s="0">
        <v>2079</v>
      </c>
    </row>
    <row r="637">
      <c r="A637" s="0" t="s">
        <v>28</v>
      </c>
      <c r="B637" s="0" t="s">
        <v>30</v>
      </c>
      <c r="C637" s="0" t="s">
        <v>196</v>
      </c>
      <c r="D637" s="0" t="s">
        <v>311</v>
      </c>
      <c r="E637" s="0" t="s">
        <v>154</v>
      </c>
      <c r="F637" s="0" t="s">
        <v>449</v>
      </c>
      <c r="G637" s="0" t="s">
        <v>450</v>
      </c>
      <c r="H637" s="0">
        <v>12</v>
      </c>
      <c r="I637" s="0">
        <v>47</v>
      </c>
      <c r="J637" s="0">
        <v>2079</v>
      </c>
    </row>
    <row r="638">
      <c r="A638" s="0" t="s">
        <v>28</v>
      </c>
      <c r="B638" s="0" t="s">
        <v>30</v>
      </c>
      <c r="C638" s="0" t="s">
        <v>196</v>
      </c>
      <c r="D638" s="0" t="s">
        <v>311</v>
      </c>
      <c r="E638" s="0" t="s">
        <v>154</v>
      </c>
      <c r="F638" s="0" t="s">
        <v>451</v>
      </c>
      <c r="G638" s="0" t="s">
        <v>452</v>
      </c>
      <c r="H638" s="0">
        <v>12</v>
      </c>
      <c r="I638" s="0">
        <v>47</v>
      </c>
      <c r="J638" s="0">
        <v>2079</v>
      </c>
    </row>
    <row r="639">
      <c r="A639" s="0" t="s">
        <v>28</v>
      </c>
      <c r="B639" s="0" t="s">
        <v>30</v>
      </c>
      <c r="C639" s="0" t="s">
        <v>196</v>
      </c>
      <c r="D639" s="0" t="s">
        <v>311</v>
      </c>
      <c r="E639" s="0" t="s">
        <v>154</v>
      </c>
      <c r="F639" s="0" t="s">
        <v>453</v>
      </c>
      <c r="G639" s="0" t="s">
        <v>454</v>
      </c>
      <c r="H639" s="0">
        <v>12</v>
      </c>
      <c r="I639" s="0">
        <v>47</v>
      </c>
      <c r="J639" s="0">
        <v>2079</v>
      </c>
    </row>
    <row r="640">
      <c r="A640" s="0" t="s">
        <v>28</v>
      </c>
      <c r="B640" s="0" t="s">
        <v>30</v>
      </c>
      <c r="C640" s="0" t="s">
        <v>196</v>
      </c>
      <c r="D640" s="0" t="s">
        <v>311</v>
      </c>
      <c r="E640" s="0" t="s">
        <v>154</v>
      </c>
      <c r="F640" s="0" t="s">
        <v>426</v>
      </c>
      <c r="G640" s="0" t="s">
        <v>114</v>
      </c>
      <c r="H640" s="0">
        <v>12</v>
      </c>
      <c r="I640" s="0">
        <v>47</v>
      </c>
      <c r="J640" s="0">
        <v>2079</v>
      </c>
    </row>
    <row r="641">
      <c r="A641" s="0" t="s">
        <v>28</v>
      </c>
      <c r="B641" s="0" t="s">
        <v>30</v>
      </c>
      <c r="C641" s="0" t="s">
        <v>196</v>
      </c>
      <c r="D641" s="0" t="s">
        <v>311</v>
      </c>
      <c r="E641" s="0" t="s">
        <v>154</v>
      </c>
      <c r="F641" s="0" t="s">
        <v>455</v>
      </c>
      <c r="G641" s="0" t="s">
        <v>456</v>
      </c>
      <c r="H641" s="0">
        <v>12</v>
      </c>
      <c r="I641" s="0">
        <v>47</v>
      </c>
      <c r="J641" s="0">
        <v>2079</v>
      </c>
    </row>
    <row r="642">
      <c r="A642" s="0" t="s">
        <v>28</v>
      </c>
      <c r="B642" s="0" t="s">
        <v>30</v>
      </c>
      <c r="C642" s="0" t="s">
        <v>196</v>
      </c>
      <c r="D642" s="0" t="s">
        <v>311</v>
      </c>
      <c r="E642" s="0" t="s">
        <v>154</v>
      </c>
      <c r="F642" s="0" t="s">
        <v>457</v>
      </c>
      <c r="G642" s="0" t="s">
        <v>458</v>
      </c>
      <c r="H642" s="0">
        <v>12</v>
      </c>
      <c r="I642" s="0">
        <v>47</v>
      </c>
      <c r="J642" s="0">
        <v>2079</v>
      </c>
    </row>
    <row r="643">
      <c r="A643" s="0" t="s">
        <v>28</v>
      </c>
      <c r="B643" s="0" t="s">
        <v>30</v>
      </c>
      <c r="C643" s="0" t="s">
        <v>196</v>
      </c>
      <c r="D643" s="0" t="s">
        <v>311</v>
      </c>
      <c r="E643" s="0" t="s">
        <v>154</v>
      </c>
      <c r="F643" s="0" t="s">
        <v>459</v>
      </c>
      <c r="G643" s="0" t="s">
        <v>314</v>
      </c>
      <c r="H643" s="0">
        <v>12</v>
      </c>
      <c r="I643" s="0">
        <v>47</v>
      </c>
      <c r="J643" s="0">
        <v>2079</v>
      </c>
    </row>
    <row r="644">
      <c r="A644" s="0" t="s">
        <v>28</v>
      </c>
      <c r="B644" s="0" t="s">
        <v>30</v>
      </c>
      <c r="C644" s="0" t="s">
        <v>196</v>
      </c>
      <c r="D644" s="0" t="s">
        <v>311</v>
      </c>
      <c r="E644" s="0" t="s">
        <v>154</v>
      </c>
      <c r="F644" s="0" t="s">
        <v>460</v>
      </c>
      <c r="G644" s="0" t="s">
        <v>268</v>
      </c>
      <c r="H644" s="0">
        <v>12</v>
      </c>
      <c r="I644" s="0">
        <v>47</v>
      </c>
      <c r="J644" s="0">
        <v>2079</v>
      </c>
    </row>
    <row r="645">
      <c r="A645" s="0" t="s">
        <v>28</v>
      </c>
      <c r="B645" s="0" t="s">
        <v>30</v>
      </c>
      <c r="C645" s="0" t="s">
        <v>196</v>
      </c>
      <c r="D645" s="0" t="s">
        <v>311</v>
      </c>
      <c r="E645" s="0" t="s">
        <v>154</v>
      </c>
      <c r="F645" s="0" t="s">
        <v>403</v>
      </c>
      <c r="G645" s="0" t="s">
        <v>461</v>
      </c>
      <c r="H645" s="0">
        <v>12</v>
      </c>
      <c r="I645" s="0">
        <v>47</v>
      </c>
      <c r="J645" s="0">
        <v>2079</v>
      </c>
    </row>
    <row r="646">
      <c r="A646" s="0" t="s">
        <v>28</v>
      </c>
      <c r="B646" s="0" t="s">
        <v>30</v>
      </c>
      <c r="C646" s="0" t="s">
        <v>196</v>
      </c>
      <c r="D646" s="0" t="s">
        <v>311</v>
      </c>
      <c r="E646" s="0" t="s">
        <v>154</v>
      </c>
      <c r="F646" s="0" t="s">
        <v>462</v>
      </c>
      <c r="G646" s="0" t="s">
        <v>463</v>
      </c>
      <c r="H646" s="0">
        <v>12</v>
      </c>
      <c r="I646" s="0">
        <v>47</v>
      </c>
      <c r="J646" s="0">
        <v>2079</v>
      </c>
    </row>
    <row r="647">
      <c r="A647" s="0" t="s">
        <v>28</v>
      </c>
      <c r="B647" s="0" t="s">
        <v>30</v>
      </c>
      <c r="C647" s="0" t="s">
        <v>196</v>
      </c>
      <c r="D647" s="0" t="s">
        <v>311</v>
      </c>
      <c r="E647" s="0" t="s">
        <v>154</v>
      </c>
      <c r="F647" s="0" t="s">
        <v>464</v>
      </c>
      <c r="G647" s="0" t="s">
        <v>269</v>
      </c>
      <c r="H647" s="0">
        <v>12</v>
      </c>
      <c r="I647" s="0">
        <v>47</v>
      </c>
      <c r="J647" s="0">
        <v>2079</v>
      </c>
    </row>
    <row r="648">
      <c r="A648" s="0" t="s">
        <v>28</v>
      </c>
      <c r="B648" s="0" t="s">
        <v>30</v>
      </c>
      <c r="C648" s="0" t="s">
        <v>196</v>
      </c>
      <c r="D648" s="0" t="s">
        <v>311</v>
      </c>
      <c r="E648" s="0" t="s">
        <v>154</v>
      </c>
      <c r="F648" s="0" t="s">
        <v>427</v>
      </c>
      <c r="G648" s="0" t="s">
        <v>428</v>
      </c>
      <c r="H648" s="0">
        <v>12</v>
      </c>
      <c r="I648" s="0">
        <v>47</v>
      </c>
      <c r="J648" s="0">
        <v>2079</v>
      </c>
    </row>
    <row r="649">
      <c r="A649" s="0" t="s">
        <v>28</v>
      </c>
      <c r="B649" s="0" t="s">
        <v>30</v>
      </c>
      <c r="C649" s="0" t="s">
        <v>196</v>
      </c>
      <c r="D649" s="0" t="s">
        <v>311</v>
      </c>
      <c r="E649" s="0" t="s">
        <v>154</v>
      </c>
      <c r="F649" s="0" t="s">
        <v>429</v>
      </c>
      <c r="G649" s="0" t="s">
        <v>430</v>
      </c>
      <c r="H649" s="0">
        <v>12</v>
      </c>
      <c r="I649" s="0">
        <v>47</v>
      </c>
      <c r="J649" s="0">
        <v>2079</v>
      </c>
    </row>
    <row r="650">
      <c r="A650" s="0" t="s">
        <v>28</v>
      </c>
      <c r="B650" s="0" t="s">
        <v>30</v>
      </c>
      <c r="C650" s="0" t="s">
        <v>196</v>
      </c>
      <c r="D650" s="0" t="s">
        <v>311</v>
      </c>
      <c r="E650" s="0" t="s">
        <v>154</v>
      </c>
      <c r="F650" s="0" t="s">
        <v>431</v>
      </c>
      <c r="G650" s="0" t="s">
        <v>432</v>
      </c>
      <c r="H650" s="0">
        <v>12</v>
      </c>
      <c r="I650" s="0">
        <v>47</v>
      </c>
      <c r="J650" s="0">
        <v>2079</v>
      </c>
    </row>
    <row r="651">
      <c r="A651" s="0" t="s">
        <v>28</v>
      </c>
      <c r="B651" s="0" t="s">
        <v>30</v>
      </c>
      <c r="C651" s="0" t="s">
        <v>196</v>
      </c>
      <c r="D651" s="0" t="s">
        <v>311</v>
      </c>
      <c r="E651" s="0" t="s">
        <v>154</v>
      </c>
      <c r="F651" s="0" t="s">
        <v>467</v>
      </c>
      <c r="G651" s="0" t="s">
        <v>270</v>
      </c>
      <c r="H651" s="0">
        <v>12</v>
      </c>
      <c r="I651" s="0">
        <v>47</v>
      </c>
      <c r="J651" s="0">
        <v>2079</v>
      </c>
    </row>
    <row r="652">
      <c r="A652" s="0" t="s">
        <v>28</v>
      </c>
      <c r="B652" s="0" t="s">
        <v>30</v>
      </c>
      <c r="C652" s="0" t="s">
        <v>196</v>
      </c>
      <c r="D652" s="0" t="s">
        <v>311</v>
      </c>
      <c r="E652" s="0" t="s">
        <v>154</v>
      </c>
      <c r="F652" s="0" t="s">
        <v>468</v>
      </c>
      <c r="G652" s="0" t="s">
        <v>271</v>
      </c>
      <c r="H652" s="0">
        <v>12</v>
      </c>
      <c r="I652" s="0">
        <v>47</v>
      </c>
      <c r="J652" s="0">
        <v>2079</v>
      </c>
    </row>
    <row r="653">
      <c r="A653" s="0" t="s">
        <v>28</v>
      </c>
      <c r="B653" s="0" t="s">
        <v>30</v>
      </c>
      <c r="C653" s="0" t="s">
        <v>196</v>
      </c>
      <c r="D653" s="0" t="s">
        <v>311</v>
      </c>
      <c r="E653" s="0" t="s">
        <v>154</v>
      </c>
      <c r="F653" s="0" t="s">
        <v>469</v>
      </c>
      <c r="G653" s="0" t="s">
        <v>470</v>
      </c>
      <c r="H653" s="0">
        <v>12</v>
      </c>
      <c r="I653" s="0">
        <v>47</v>
      </c>
      <c r="J653" s="0">
        <v>2079</v>
      </c>
    </row>
    <row r="654">
      <c r="A654" s="0" t="s">
        <v>28</v>
      </c>
      <c r="B654" s="0" t="s">
        <v>30</v>
      </c>
      <c r="C654" s="0" t="s">
        <v>196</v>
      </c>
      <c r="D654" s="0" t="s">
        <v>311</v>
      </c>
      <c r="E654" s="0" t="s">
        <v>154</v>
      </c>
      <c r="F654" s="0" t="s">
        <v>471</v>
      </c>
      <c r="G654" s="0" t="s">
        <v>272</v>
      </c>
      <c r="H654" s="0">
        <v>12</v>
      </c>
      <c r="I654" s="0">
        <v>47</v>
      </c>
      <c r="J654" s="0">
        <v>2079</v>
      </c>
    </row>
    <row r="655">
      <c r="A655" s="0" t="s">
        <v>28</v>
      </c>
      <c r="B655" s="0" t="s">
        <v>30</v>
      </c>
      <c r="C655" s="0" t="s">
        <v>196</v>
      </c>
      <c r="D655" s="0" t="s">
        <v>311</v>
      </c>
      <c r="E655" s="0" t="s">
        <v>154</v>
      </c>
      <c r="F655" s="0" t="s">
        <v>472</v>
      </c>
      <c r="G655" s="0" t="s">
        <v>473</v>
      </c>
      <c r="H655" s="0">
        <v>12</v>
      </c>
      <c r="I655" s="0">
        <v>47</v>
      </c>
      <c r="J655" s="0">
        <v>2079</v>
      </c>
    </row>
    <row r="656">
      <c r="A656" s="0" t="s">
        <v>28</v>
      </c>
      <c r="B656" s="0" t="s">
        <v>30</v>
      </c>
      <c r="C656" s="0" t="s">
        <v>196</v>
      </c>
      <c r="D656" s="0" t="s">
        <v>311</v>
      </c>
      <c r="E656" s="0" t="s">
        <v>154</v>
      </c>
      <c r="F656" s="0" t="s">
        <v>433</v>
      </c>
      <c r="G656" s="0" t="s">
        <v>434</v>
      </c>
      <c r="H656" s="0">
        <v>12</v>
      </c>
      <c r="I656" s="0">
        <v>47</v>
      </c>
      <c r="J656" s="0">
        <v>2079</v>
      </c>
    </row>
    <row r="657">
      <c r="A657" s="0" t="s">
        <v>28</v>
      </c>
      <c r="B657" s="0" t="s">
        <v>30</v>
      </c>
      <c r="C657" s="0" t="s">
        <v>196</v>
      </c>
      <c r="D657" s="0" t="s">
        <v>311</v>
      </c>
      <c r="E657" s="0" t="s">
        <v>154</v>
      </c>
      <c r="F657" s="0" t="s">
        <v>474</v>
      </c>
      <c r="G657" s="0" t="s">
        <v>272</v>
      </c>
      <c r="H657" s="0">
        <v>12</v>
      </c>
      <c r="I657" s="0">
        <v>47</v>
      </c>
      <c r="J657" s="0">
        <v>2079</v>
      </c>
    </row>
    <row r="658">
      <c r="A658" s="0" t="s">
        <v>28</v>
      </c>
      <c r="B658" s="0" t="s">
        <v>30</v>
      </c>
      <c r="C658" s="0" t="s">
        <v>196</v>
      </c>
      <c r="D658" s="0" t="s">
        <v>311</v>
      </c>
      <c r="E658" s="0" t="s">
        <v>154</v>
      </c>
      <c r="F658" s="0" t="s">
        <v>475</v>
      </c>
      <c r="G658" s="0" t="s">
        <v>476</v>
      </c>
      <c r="H658" s="0">
        <v>12</v>
      </c>
      <c r="I658" s="0">
        <v>47</v>
      </c>
      <c r="J658" s="0">
        <v>2079</v>
      </c>
    </row>
    <row r="659">
      <c r="A659" s="0" t="s">
        <v>28</v>
      </c>
      <c r="B659" s="0" t="s">
        <v>30</v>
      </c>
      <c r="C659" s="0" t="s">
        <v>196</v>
      </c>
      <c r="D659" s="0" t="s">
        <v>311</v>
      </c>
      <c r="E659" s="0" t="s">
        <v>154</v>
      </c>
      <c r="F659" s="0" t="s">
        <v>477</v>
      </c>
      <c r="G659" s="0" t="s">
        <v>478</v>
      </c>
      <c r="H659" s="0">
        <v>12</v>
      </c>
      <c r="I659" s="0">
        <v>47</v>
      </c>
      <c r="J659" s="0">
        <v>2079</v>
      </c>
    </row>
    <row r="660">
      <c r="A660" s="0" t="s">
        <v>28</v>
      </c>
      <c r="B660" s="0" t="s">
        <v>30</v>
      </c>
      <c r="C660" s="0" t="s">
        <v>196</v>
      </c>
      <c r="D660" s="0" t="s">
        <v>311</v>
      </c>
      <c r="E660" s="0" t="s">
        <v>154</v>
      </c>
      <c r="F660" s="0" t="s">
        <v>479</v>
      </c>
      <c r="G660" s="0" t="s">
        <v>273</v>
      </c>
      <c r="H660" s="0">
        <v>12</v>
      </c>
      <c r="I660" s="0">
        <v>47</v>
      </c>
      <c r="J660" s="0">
        <v>2079</v>
      </c>
    </row>
    <row r="661">
      <c r="A661" s="0" t="s">
        <v>28</v>
      </c>
      <c r="B661" s="0" t="s">
        <v>30</v>
      </c>
      <c r="C661" s="0" t="s">
        <v>196</v>
      </c>
      <c r="D661" s="0" t="s">
        <v>311</v>
      </c>
      <c r="E661" s="0" t="s">
        <v>154</v>
      </c>
      <c r="F661" s="0" t="s">
        <v>480</v>
      </c>
      <c r="G661" s="0" t="s">
        <v>274</v>
      </c>
      <c r="H661" s="0">
        <v>12</v>
      </c>
      <c r="I661" s="0">
        <v>47</v>
      </c>
      <c r="J661" s="0">
        <v>2079</v>
      </c>
    </row>
    <row r="662">
      <c r="A662" s="0" t="s">
        <v>28</v>
      </c>
      <c r="B662" s="0" t="s">
        <v>30</v>
      </c>
      <c r="C662" s="0" t="s">
        <v>196</v>
      </c>
      <c r="D662" s="0" t="s">
        <v>311</v>
      </c>
      <c r="E662" s="0" t="s">
        <v>154</v>
      </c>
      <c r="F662" s="0" t="s">
        <v>481</v>
      </c>
      <c r="G662" s="0" t="s">
        <v>275</v>
      </c>
      <c r="H662" s="0">
        <v>12</v>
      </c>
      <c r="I662" s="0">
        <v>47</v>
      </c>
      <c r="J662" s="0">
        <v>2079</v>
      </c>
    </row>
    <row r="663">
      <c r="A663" s="0" t="s">
        <v>28</v>
      </c>
      <c r="B663" s="0" t="s">
        <v>30</v>
      </c>
      <c r="C663" s="0" t="s">
        <v>196</v>
      </c>
      <c r="D663" s="0" t="s">
        <v>311</v>
      </c>
      <c r="E663" s="0" t="s">
        <v>154</v>
      </c>
      <c r="F663" s="0" t="s">
        <v>482</v>
      </c>
      <c r="G663" s="0" t="s">
        <v>483</v>
      </c>
      <c r="H663" s="0">
        <v>12</v>
      </c>
      <c r="I663" s="0">
        <v>47</v>
      </c>
      <c r="J663" s="0">
        <v>2079</v>
      </c>
    </row>
    <row r="664">
      <c r="A664" s="0" t="s">
        <v>28</v>
      </c>
      <c r="B664" s="0" t="s">
        <v>30</v>
      </c>
      <c r="C664" s="0" t="s">
        <v>196</v>
      </c>
      <c r="D664" s="0" t="s">
        <v>311</v>
      </c>
      <c r="E664" s="0" t="s">
        <v>154</v>
      </c>
      <c r="F664" s="0" t="s">
        <v>484</v>
      </c>
      <c r="G664" s="0" t="s">
        <v>272</v>
      </c>
      <c r="H664" s="0">
        <v>12</v>
      </c>
      <c r="I664" s="0">
        <v>47</v>
      </c>
      <c r="J664" s="0">
        <v>2079</v>
      </c>
    </row>
    <row r="665">
      <c r="A665" s="0" t="s">
        <v>28</v>
      </c>
      <c r="B665" s="0" t="s">
        <v>30</v>
      </c>
      <c r="C665" s="0" t="s">
        <v>196</v>
      </c>
      <c r="D665" s="0" t="s">
        <v>311</v>
      </c>
      <c r="E665" s="0" t="s">
        <v>154</v>
      </c>
      <c r="F665" s="0" t="s">
        <v>485</v>
      </c>
      <c r="G665" s="0" t="s">
        <v>473</v>
      </c>
      <c r="H665" s="0">
        <v>12</v>
      </c>
      <c r="I665" s="0">
        <v>47</v>
      </c>
      <c r="J665" s="0">
        <v>2079</v>
      </c>
    </row>
    <row r="666">
      <c r="A666" s="0" t="s">
        <v>28</v>
      </c>
      <c r="B666" s="0" t="s">
        <v>30</v>
      </c>
      <c r="C666" s="0" t="s">
        <v>196</v>
      </c>
      <c r="D666" s="0" t="s">
        <v>311</v>
      </c>
      <c r="E666" s="0" t="s">
        <v>154</v>
      </c>
      <c r="F666" s="0" t="s">
        <v>486</v>
      </c>
      <c r="G666" s="0" t="s">
        <v>272</v>
      </c>
      <c r="H666" s="0">
        <v>12</v>
      </c>
      <c r="I666" s="0">
        <v>47</v>
      </c>
      <c r="J666" s="0">
        <v>2079</v>
      </c>
    </row>
    <row r="667">
      <c r="A667" s="0" t="s">
        <v>28</v>
      </c>
      <c r="B667" s="0" t="s">
        <v>30</v>
      </c>
      <c r="C667" s="0" t="s">
        <v>196</v>
      </c>
      <c r="D667" s="0" t="s">
        <v>311</v>
      </c>
      <c r="E667" s="0" t="s">
        <v>154</v>
      </c>
      <c r="F667" s="0" t="s">
        <v>487</v>
      </c>
      <c r="G667" s="0" t="s">
        <v>276</v>
      </c>
      <c r="H667" s="0">
        <v>12</v>
      </c>
      <c r="I667" s="0">
        <v>47</v>
      </c>
      <c r="J667" s="0">
        <v>2079</v>
      </c>
    </row>
    <row r="668">
      <c r="A668" s="0" t="s">
        <v>28</v>
      </c>
      <c r="B668" s="0" t="s">
        <v>30</v>
      </c>
      <c r="C668" s="0" t="s">
        <v>196</v>
      </c>
      <c r="D668" s="0" t="s">
        <v>311</v>
      </c>
      <c r="E668" s="0" t="s">
        <v>154</v>
      </c>
      <c r="F668" s="0" t="s">
        <v>435</v>
      </c>
      <c r="G668" s="0" t="s">
        <v>344</v>
      </c>
      <c r="H668" s="0">
        <v>12</v>
      </c>
      <c r="I668" s="0">
        <v>47</v>
      </c>
      <c r="J668" s="0">
        <v>2079</v>
      </c>
    </row>
    <row r="669">
      <c r="A669" s="0" t="s">
        <v>28</v>
      </c>
      <c r="B669" s="0" t="s">
        <v>30</v>
      </c>
      <c r="C669" s="0" t="s">
        <v>196</v>
      </c>
      <c r="D669" s="0" t="s">
        <v>311</v>
      </c>
      <c r="E669" s="0" t="s">
        <v>154</v>
      </c>
      <c r="F669" s="0" t="s">
        <v>490</v>
      </c>
      <c r="G669" s="0" t="s">
        <v>491</v>
      </c>
      <c r="H669" s="0">
        <v>12</v>
      </c>
      <c r="I669" s="0">
        <v>47</v>
      </c>
      <c r="J669" s="0">
        <v>2079</v>
      </c>
    </row>
    <row r="670">
      <c r="A670" s="0" t="s">
        <v>28</v>
      </c>
      <c r="B670" s="0" t="s">
        <v>30</v>
      </c>
      <c r="C670" s="0" t="s">
        <v>196</v>
      </c>
      <c r="D670" s="0" t="s">
        <v>311</v>
      </c>
      <c r="E670" s="0" t="s">
        <v>154</v>
      </c>
      <c r="F670" s="0" t="s">
        <v>436</v>
      </c>
      <c r="G670" s="0" t="s">
        <v>437</v>
      </c>
      <c r="H670" s="0">
        <v>12</v>
      </c>
      <c r="I670" s="0">
        <v>47</v>
      </c>
      <c r="J670" s="0">
        <v>2079</v>
      </c>
    </row>
    <row r="671">
      <c r="A671" s="0" t="s">
        <v>28</v>
      </c>
      <c r="B671" s="0" t="s">
        <v>30</v>
      </c>
      <c r="C671" s="0" t="s">
        <v>196</v>
      </c>
      <c r="D671" s="0" t="s">
        <v>311</v>
      </c>
      <c r="E671" s="0" t="s">
        <v>154</v>
      </c>
      <c r="F671" s="0" t="s">
        <v>494</v>
      </c>
      <c r="G671" s="0" t="s">
        <v>277</v>
      </c>
      <c r="H671" s="0">
        <v>12</v>
      </c>
      <c r="I671" s="0">
        <v>47</v>
      </c>
      <c r="J671" s="0">
        <v>2079</v>
      </c>
    </row>
    <row r="672">
      <c r="A672" s="0" t="s">
        <v>28</v>
      </c>
      <c r="B672" s="0" t="s">
        <v>30</v>
      </c>
      <c r="C672" s="0" t="s">
        <v>196</v>
      </c>
      <c r="D672" s="0" t="s">
        <v>311</v>
      </c>
      <c r="E672" s="0" t="s">
        <v>154</v>
      </c>
      <c r="F672" s="0" t="s">
        <v>495</v>
      </c>
      <c r="G672" s="0" t="s">
        <v>257</v>
      </c>
      <c r="H672" s="0">
        <v>12</v>
      </c>
      <c r="I672" s="0">
        <v>47</v>
      </c>
      <c r="J672" s="0">
        <v>2079</v>
      </c>
    </row>
    <row r="673">
      <c r="A673" s="0" t="s">
        <v>28</v>
      </c>
      <c r="B673" s="0" t="s">
        <v>30</v>
      </c>
      <c r="C673" s="0" t="s">
        <v>196</v>
      </c>
      <c r="D673" s="0" t="s">
        <v>311</v>
      </c>
      <c r="E673" s="0" t="s">
        <v>154</v>
      </c>
      <c r="F673" s="0" t="s">
        <v>496</v>
      </c>
      <c r="G673" s="0" t="s">
        <v>286</v>
      </c>
      <c r="H673" s="0">
        <v>12</v>
      </c>
      <c r="I673" s="0">
        <v>47</v>
      </c>
      <c r="J673" s="0">
        <v>2079</v>
      </c>
    </row>
    <row r="674">
      <c r="A674" s="0" t="s">
        <v>28</v>
      </c>
      <c r="B674" s="0" t="s">
        <v>30</v>
      </c>
      <c r="C674" s="0" t="s">
        <v>196</v>
      </c>
      <c r="D674" s="0" t="s">
        <v>311</v>
      </c>
      <c r="E674" s="0" t="s">
        <v>154</v>
      </c>
      <c r="F674" s="0" t="s">
        <v>497</v>
      </c>
      <c r="G674" s="0" t="s">
        <v>498</v>
      </c>
      <c r="H674" s="0">
        <v>12</v>
      </c>
      <c r="I674" s="0">
        <v>47</v>
      </c>
      <c r="J674" s="0">
        <v>2079</v>
      </c>
    </row>
    <row r="675">
      <c r="A675" s="0" t="s">
        <v>28</v>
      </c>
      <c r="B675" s="0" t="s">
        <v>30</v>
      </c>
      <c r="C675" s="0" t="s">
        <v>196</v>
      </c>
      <c r="D675" s="0" t="s">
        <v>311</v>
      </c>
      <c r="E675" s="0" t="s">
        <v>154</v>
      </c>
      <c r="F675" s="0" t="s">
        <v>499</v>
      </c>
      <c r="G675" s="0" t="s">
        <v>567</v>
      </c>
      <c r="H675" s="0">
        <v>12</v>
      </c>
      <c r="I675" s="0">
        <v>47</v>
      </c>
      <c r="J675" s="0">
        <v>2079</v>
      </c>
    </row>
    <row r="676">
      <c r="A676" s="0" t="s">
        <v>28</v>
      </c>
      <c r="B676" s="0" t="s">
        <v>30</v>
      </c>
      <c r="C676" s="0" t="s">
        <v>196</v>
      </c>
      <c r="D676" s="0" t="s">
        <v>311</v>
      </c>
      <c r="E676" s="0" t="s">
        <v>154</v>
      </c>
      <c r="F676" s="0" t="s">
        <v>501</v>
      </c>
      <c r="G676" s="0" t="s">
        <v>502</v>
      </c>
      <c r="H676" s="0">
        <v>12</v>
      </c>
      <c r="I676" s="0">
        <v>47</v>
      </c>
      <c r="J676" s="0">
        <v>2079</v>
      </c>
    </row>
    <row r="677">
      <c r="A677" s="0" t="s">
        <v>28</v>
      </c>
      <c r="B677" s="0" t="s">
        <v>30</v>
      </c>
      <c r="C677" s="0" t="s">
        <v>196</v>
      </c>
      <c r="D677" s="0" t="s">
        <v>311</v>
      </c>
      <c r="E677" s="0" t="s">
        <v>154</v>
      </c>
      <c r="F677" s="0" t="s">
        <v>503</v>
      </c>
      <c r="G677" s="0" t="s">
        <v>504</v>
      </c>
      <c r="H677" s="0">
        <v>12</v>
      </c>
      <c r="I677" s="0">
        <v>47</v>
      </c>
      <c r="J677" s="0">
        <v>2079</v>
      </c>
    </row>
    <row r="678">
      <c r="A678" s="0" t="s">
        <v>28</v>
      </c>
      <c r="B678" s="0" t="s">
        <v>30</v>
      </c>
      <c r="C678" s="0" t="s">
        <v>196</v>
      </c>
      <c r="D678" s="0" t="s">
        <v>311</v>
      </c>
      <c r="E678" s="0" t="s">
        <v>154</v>
      </c>
      <c r="F678" s="0" t="s">
        <v>505</v>
      </c>
      <c r="G678" s="0" t="s">
        <v>506</v>
      </c>
      <c r="H678" s="0">
        <v>12</v>
      </c>
      <c r="I678" s="0">
        <v>47</v>
      </c>
      <c r="J678" s="0">
        <v>2079</v>
      </c>
    </row>
    <row r="679">
      <c r="A679" s="0" t="s">
        <v>28</v>
      </c>
      <c r="B679" s="0" t="s">
        <v>30</v>
      </c>
      <c r="C679" s="0" t="s">
        <v>196</v>
      </c>
      <c r="D679" s="0" t="s">
        <v>311</v>
      </c>
      <c r="E679" s="0" t="s">
        <v>154</v>
      </c>
      <c r="F679" s="0" t="s">
        <v>507</v>
      </c>
      <c r="G679" s="0" t="s">
        <v>508</v>
      </c>
      <c r="H679" s="0">
        <v>12</v>
      </c>
      <c r="I679" s="0">
        <v>47</v>
      </c>
      <c r="J679" s="0">
        <v>2079</v>
      </c>
    </row>
    <row r="680">
      <c r="A680" s="0" t="s">
        <v>28</v>
      </c>
      <c r="B680" s="0" t="s">
        <v>30</v>
      </c>
      <c r="C680" s="0" t="s">
        <v>196</v>
      </c>
      <c r="D680" s="0" t="s">
        <v>311</v>
      </c>
      <c r="E680" s="0" t="s">
        <v>154</v>
      </c>
      <c r="F680" s="0" t="s">
        <v>509</v>
      </c>
      <c r="G680" s="0" t="s">
        <v>114</v>
      </c>
      <c r="H680" s="0">
        <v>12</v>
      </c>
      <c r="I680" s="0">
        <v>47</v>
      </c>
      <c r="J680" s="0">
        <v>2079</v>
      </c>
    </row>
    <row r="681">
      <c r="A681" s="0" t="s">
        <v>28</v>
      </c>
      <c r="B681" s="0" t="s">
        <v>30</v>
      </c>
      <c r="C681" s="0" t="s">
        <v>196</v>
      </c>
      <c r="D681" s="0" t="s">
        <v>311</v>
      </c>
      <c r="E681" s="0" t="s">
        <v>154</v>
      </c>
      <c r="F681" s="0" t="s">
        <v>510</v>
      </c>
      <c r="G681" s="0" t="s">
        <v>511</v>
      </c>
      <c r="H681" s="0">
        <v>12</v>
      </c>
      <c r="I681" s="0">
        <v>47</v>
      </c>
      <c r="J681" s="0">
        <v>2079</v>
      </c>
    </row>
    <row r="682">
      <c r="A682" s="0" t="s">
        <v>28</v>
      </c>
      <c r="B682" s="0" t="s">
        <v>30</v>
      </c>
      <c r="C682" s="0" t="s">
        <v>196</v>
      </c>
      <c r="D682" s="0" t="s">
        <v>311</v>
      </c>
      <c r="E682" s="0" t="s">
        <v>154</v>
      </c>
      <c r="F682" s="0" t="s">
        <v>512</v>
      </c>
      <c r="G682" s="0" t="s">
        <v>568</v>
      </c>
      <c r="H682" s="0">
        <v>12</v>
      </c>
      <c r="I682" s="0">
        <v>47</v>
      </c>
      <c r="J682" s="0">
        <v>2079</v>
      </c>
    </row>
    <row r="683">
      <c r="A683" s="0" t="s">
        <v>28</v>
      </c>
      <c r="B683" s="0" t="s">
        <v>30</v>
      </c>
      <c r="C683" s="0" t="s">
        <v>196</v>
      </c>
      <c r="D683" s="0" t="s">
        <v>311</v>
      </c>
      <c r="E683" s="0" t="s">
        <v>154</v>
      </c>
      <c r="F683" s="0" t="s">
        <v>514</v>
      </c>
      <c r="G683" s="0" t="s">
        <v>515</v>
      </c>
      <c r="H683" s="0">
        <v>12</v>
      </c>
      <c r="I683" s="0">
        <v>47</v>
      </c>
      <c r="J683" s="0">
        <v>2079</v>
      </c>
    </row>
    <row r="684">
      <c r="A684" s="0" t="s">
        <v>28</v>
      </c>
      <c r="B684" s="0" t="s">
        <v>30</v>
      </c>
      <c r="C684" s="0" t="s">
        <v>196</v>
      </c>
      <c r="D684" s="0" t="s">
        <v>311</v>
      </c>
      <c r="E684" s="0" t="s">
        <v>154</v>
      </c>
      <c r="F684" s="0" t="s">
        <v>516</v>
      </c>
      <c r="G684" s="0" t="s">
        <v>450</v>
      </c>
      <c r="H684" s="0">
        <v>12</v>
      </c>
      <c r="I684" s="0">
        <v>47</v>
      </c>
      <c r="J684" s="0">
        <v>2079</v>
      </c>
    </row>
    <row r="685">
      <c r="A685" s="0" t="s">
        <v>28</v>
      </c>
      <c r="B685" s="0" t="s">
        <v>30</v>
      </c>
      <c r="C685" s="0" t="s">
        <v>196</v>
      </c>
      <c r="D685" s="0" t="s">
        <v>311</v>
      </c>
      <c r="E685" s="0" t="s">
        <v>154</v>
      </c>
      <c r="F685" s="0" t="s">
        <v>517</v>
      </c>
      <c r="G685" s="0" t="s">
        <v>518</v>
      </c>
      <c r="H685" s="0">
        <v>12</v>
      </c>
      <c r="I685" s="0">
        <v>47</v>
      </c>
      <c r="J685" s="0">
        <v>2079</v>
      </c>
    </row>
    <row r="686">
      <c r="A686" s="0" t="s">
        <v>28</v>
      </c>
      <c r="B686" s="0" t="s">
        <v>30</v>
      </c>
      <c r="C686" s="0" t="s">
        <v>196</v>
      </c>
      <c r="D686" s="0" t="s">
        <v>311</v>
      </c>
      <c r="E686" s="0" t="s">
        <v>154</v>
      </c>
      <c r="F686" s="0" t="s">
        <v>519</v>
      </c>
      <c r="G686" s="0" t="s">
        <v>520</v>
      </c>
      <c r="H686" s="0">
        <v>12</v>
      </c>
      <c r="I686" s="0">
        <v>47</v>
      </c>
      <c r="J686" s="0">
        <v>2079</v>
      </c>
    </row>
    <row r="687">
      <c r="A687" s="0" t="s">
        <v>28</v>
      </c>
      <c r="B687" s="0" t="s">
        <v>30</v>
      </c>
      <c r="C687" s="0" t="s">
        <v>196</v>
      </c>
      <c r="D687" s="0" t="s">
        <v>311</v>
      </c>
      <c r="E687" s="0" t="s">
        <v>154</v>
      </c>
      <c r="F687" s="0" t="s">
        <v>521</v>
      </c>
      <c r="G687" s="0" t="s">
        <v>341</v>
      </c>
      <c r="H687" s="0">
        <v>12</v>
      </c>
      <c r="I687" s="0">
        <v>47</v>
      </c>
      <c r="J687" s="0">
        <v>2079</v>
      </c>
    </row>
    <row r="688">
      <c r="A688" s="0" t="s">
        <v>28</v>
      </c>
      <c r="B688" s="0" t="s">
        <v>30</v>
      </c>
      <c r="C688" s="0" t="s">
        <v>196</v>
      </c>
      <c r="D688" s="0" t="s">
        <v>311</v>
      </c>
      <c r="E688" s="0" t="s">
        <v>154</v>
      </c>
      <c r="F688" s="0" t="s">
        <v>522</v>
      </c>
      <c r="G688" s="0" t="s">
        <v>523</v>
      </c>
      <c r="H688" s="0">
        <v>12</v>
      </c>
      <c r="I688" s="0">
        <v>47</v>
      </c>
      <c r="J688" s="0">
        <v>2079</v>
      </c>
    </row>
    <row r="689">
      <c r="A689" s="0" t="s">
        <v>28</v>
      </c>
      <c r="B689" s="0" t="s">
        <v>30</v>
      </c>
      <c r="C689" s="0" t="s">
        <v>196</v>
      </c>
      <c r="D689" s="0" t="s">
        <v>311</v>
      </c>
      <c r="E689" s="0" t="s">
        <v>154</v>
      </c>
      <c r="F689" s="0" t="s">
        <v>524</v>
      </c>
      <c r="G689" s="0" t="s">
        <v>454</v>
      </c>
      <c r="H689" s="0">
        <v>12</v>
      </c>
      <c r="I689" s="0">
        <v>47</v>
      </c>
      <c r="J689" s="0">
        <v>2079</v>
      </c>
    </row>
    <row r="690">
      <c r="A690" s="0" t="s">
        <v>28</v>
      </c>
      <c r="B690" s="0" t="s">
        <v>30</v>
      </c>
      <c r="C690" s="0" t="s">
        <v>196</v>
      </c>
      <c r="D690" s="0" t="s">
        <v>311</v>
      </c>
      <c r="E690" s="0" t="s">
        <v>154</v>
      </c>
      <c r="F690" s="0" t="s">
        <v>526</v>
      </c>
      <c r="G690" s="0" t="s">
        <v>569</v>
      </c>
      <c r="H690" s="0">
        <v>12</v>
      </c>
      <c r="I690" s="0">
        <v>47</v>
      </c>
      <c r="J690" s="0">
        <v>2079</v>
      </c>
    </row>
    <row r="691">
      <c r="A691" s="0" t="s">
        <v>28</v>
      </c>
      <c r="B691" s="0" t="s">
        <v>30</v>
      </c>
      <c r="C691" s="0" t="s">
        <v>196</v>
      </c>
      <c r="D691" s="0" t="s">
        <v>311</v>
      </c>
      <c r="E691" s="0" t="s">
        <v>154</v>
      </c>
      <c r="F691" s="0" t="s">
        <v>528</v>
      </c>
      <c r="G691" s="0" t="s">
        <v>529</v>
      </c>
      <c r="H691" s="0">
        <v>12</v>
      </c>
      <c r="I691" s="0">
        <v>47</v>
      </c>
      <c r="J691" s="0">
        <v>2079</v>
      </c>
    </row>
    <row r="692">
      <c r="A692" s="0" t="s">
        <v>28</v>
      </c>
      <c r="B692" s="0" t="s">
        <v>30</v>
      </c>
      <c r="C692" s="0" t="s">
        <v>196</v>
      </c>
      <c r="D692" s="0" t="s">
        <v>311</v>
      </c>
      <c r="E692" s="0" t="s">
        <v>154</v>
      </c>
      <c r="F692" s="0" t="s">
        <v>530</v>
      </c>
      <c r="G692" s="0" t="s">
        <v>315</v>
      </c>
      <c r="H692" s="0">
        <v>12</v>
      </c>
      <c r="I692" s="0">
        <v>47</v>
      </c>
      <c r="J692" s="0">
        <v>2079</v>
      </c>
    </row>
    <row r="693">
      <c r="A693" s="0" t="s">
        <v>28</v>
      </c>
      <c r="B693" s="0" t="s">
        <v>30</v>
      </c>
      <c r="C693" s="0" t="s">
        <v>196</v>
      </c>
      <c r="D693" s="0" t="s">
        <v>311</v>
      </c>
      <c r="E693" s="0" t="s">
        <v>154</v>
      </c>
      <c r="F693" s="0" t="s">
        <v>531</v>
      </c>
      <c r="G693" s="0" t="s">
        <v>532</v>
      </c>
      <c r="H693" s="0">
        <v>12</v>
      </c>
      <c r="I693" s="0">
        <v>47</v>
      </c>
      <c r="J693" s="0">
        <v>2079</v>
      </c>
    </row>
    <row r="694">
      <c r="A694" s="0" t="s">
        <v>28</v>
      </c>
      <c r="B694" s="0" t="s">
        <v>30</v>
      </c>
      <c r="C694" s="0" t="s">
        <v>196</v>
      </c>
      <c r="D694" s="0" t="s">
        <v>317</v>
      </c>
      <c r="E694" s="0" t="s">
        <v>154</v>
      </c>
      <c r="F694" s="0" t="s">
        <v>327</v>
      </c>
      <c r="G694" s="0" t="s">
        <v>30</v>
      </c>
      <c r="H694" s="0">
        <v>12</v>
      </c>
      <c r="I694" s="0">
        <v>47</v>
      </c>
      <c r="J694" s="0">
        <v>2080</v>
      </c>
    </row>
    <row r="695">
      <c r="A695" s="0" t="s">
        <v>28</v>
      </c>
      <c r="B695" s="0" t="s">
        <v>30</v>
      </c>
      <c r="C695" s="0" t="s">
        <v>196</v>
      </c>
      <c r="D695" s="0" t="s">
        <v>317</v>
      </c>
      <c r="E695" s="0" t="s">
        <v>154</v>
      </c>
      <c r="F695" s="0" t="s">
        <v>328</v>
      </c>
      <c r="G695" s="0" t="s">
        <v>317</v>
      </c>
      <c r="H695" s="0">
        <v>12</v>
      </c>
      <c r="I695" s="0">
        <v>47</v>
      </c>
      <c r="J695" s="0">
        <v>2080</v>
      </c>
    </row>
    <row r="696">
      <c r="A696" s="0" t="s">
        <v>28</v>
      </c>
      <c r="B696" s="0" t="s">
        <v>30</v>
      </c>
      <c r="C696" s="0" t="s">
        <v>196</v>
      </c>
      <c r="D696" s="0" t="s">
        <v>317</v>
      </c>
      <c r="E696" s="0" t="s">
        <v>154</v>
      </c>
      <c r="F696" s="0" t="s">
        <v>329</v>
      </c>
      <c r="G696" s="0" t="s">
        <v>196</v>
      </c>
      <c r="H696" s="0">
        <v>12</v>
      </c>
      <c r="I696" s="0">
        <v>47</v>
      </c>
      <c r="J696" s="0">
        <v>2080</v>
      </c>
    </row>
    <row r="697">
      <c r="A697" s="0" t="s">
        <v>28</v>
      </c>
      <c r="B697" s="0" t="s">
        <v>30</v>
      </c>
      <c r="C697" s="0" t="s">
        <v>196</v>
      </c>
      <c r="D697" s="0" t="s">
        <v>317</v>
      </c>
      <c r="E697" s="0" t="s">
        <v>154</v>
      </c>
      <c r="F697" s="0" t="s">
        <v>444</v>
      </c>
      <c r="G697" s="0" t="s">
        <v>566</v>
      </c>
      <c r="H697" s="0">
        <v>12</v>
      </c>
      <c r="I697" s="0">
        <v>47</v>
      </c>
      <c r="J697" s="0">
        <v>2080</v>
      </c>
    </row>
    <row r="698">
      <c r="A698" s="0" t="s">
        <v>28</v>
      </c>
      <c r="B698" s="0" t="s">
        <v>30</v>
      </c>
      <c r="C698" s="0" t="s">
        <v>196</v>
      </c>
      <c r="D698" s="0" t="s">
        <v>317</v>
      </c>
      <c r="E698" s="0" t="s">
        <v>154</v>
      </c>
      <c r="F698" s="0" t="s">
        <v>446</v>
      </c>
      <c r="G698" s="0" t="s">
        <v>341</v>
      </c>
      <c r="H698" s="0">
        <v>12</v>
      </c>
      <c r="I698" s="0">
        <v>47</v>
      </c>
      <c r="J698" s="0">
        <v>2080</v>
      </c>
    </row>
    <row r="699">
      <c r="A699" s="0" t="s">
        <v>28</v>
      </c>
      <c r="B699" s="0" t="s">
        <v>30</v>
      </c>
      <c r="C699" s="0" t="s">
        <v>196</v>
      </c>
      <c r="D699" s="0" t="s">
        <v>317</v>
      </c>
      <c r="E699" s="0" t="s">
        <v>154</v>
      </c>
      <c r="F699" s="0" t="s">
        <v>447</v>
      </c>
      <c r="G699" s="0" t="s">
        <v>448</v>
      </c>
      <c r="H699" s="0">
        <v>12</v>
      </c>
      <c r="I699" s="0">
        <v>47</v>
      </c>
      <c r="J699" s="0">
        <v>2080</v>
      </c>
    </row>
    <row r="700">
      <c r="A700" s="0" t="s">
        <v>28</v>
      </c>
      <c r="B700" s="0" t="s">
        <v>30</v>
      </c>
      <c r="C700" s="0" t="s">
        <v>196</v>
      </c>
      <c r="D700" s="0" t="s">
        <v>317</v>
      </c>
      <c r="E700" s="0" t="s">
        <v>154</v>
      </c>
      <c r="F700" s="0" t="s">
        <v>423</v>
      </c>
      <c r="G700" s="0" t="s">
        <v>438</v>
      </c>
      <c r="H700" s="0">
        <v>12</v>
      </c>
      <c r="I700" s="0">
        <v>47</v>
      </c>
      <c r="J700" s="0">
        <v>2080</v>
      </c>
    </row>
    <row r="701">
      <c r="A701" s="0" t="s">
        <v>28</v>
      </c>
      <c r="B701" s="0" t="s">
        <v>30</v>
      </c>
      <c r="C701" s="0" t="s">
        <v>196</v>
      </c>
      <c r="D701" s="0" t="s">
        <v>317</v>
      </c>
      <c r="E701" s="0" t="s">
        <v>154</v>
      </c>
      <c r="F701" s="0" t="s">
        <v>425</v>
      </c>
      <c r="G701" s="0" t="s">
        <v>438</v>
      </c>
      <c r="H701" s="0">
        <v>12</v>
      </c>
      <c r="I701" s="0">
        <v>47</v>
      </c>
      <c r="J701" s="0">
        <v>2080</v>
      </c>
    </row>
    <row r="702">
      <c r="A702" s="0" t="s">
        <v>28</v>
      </c>
      <c r="B702" s="0" t="s">
        <v>30</v>
      </c>
      <c r="C702" s="0" t="s">
        <v>196</v>
      </c>
      <c r="D702" s="0" t="s">
        <v>317</v>
      </c>
      <c r="E702" s="0" t="s">
        <v>154</v>
      </c>
      <c r="F702" s="0" t="s">
        <v>449</v>
      </c>
      <c r="G702" s="0" t="s">
        <v>450</v>
      </c>
      <c r="H702" s="0">
        <v>12</v>
      </c>
      <c r="I702" s="0">
        <v>47</v>
      </c>
      <c r="J702" s="0">
        <v>2080</v>
      </c>
    </row>
    <row r="703">
      <c r="A703" s="0" t="s">
        <v>28</v>
      </c>
      <c r="B703" s="0" t="s">
        <v>30</v>
      </c>
      <c r="C703" s="0" t="s">
        <v>196</v>
      </c>
      <c r="D703" s="0" t="s">
        <v>317</v>
      </c>
      <c r="E703" s="0" t="s">
        <v>154</v>
      </c>
      <c r="F703" s="0" t="s">
        <v>451</v>
      </c>
      <c r="G703" s="0" t="s">
        <v>452</v>
      </c>
      <c r="H703" s="0">
        <v>12</v>
      </c>
      <c r="I703" s="0">
        <v>47</v>
      </c>
      <c r="J703" s="0">
        <v>2080</v>
      </c>
    </row>
    <row r="704">
      <c r="A704" s="0" t="s">
        <v>28</v>
      </c>
      <c r="B704" s="0" t="s">
        <v>30</v>
      </c>
      <c r="C704" s="0" t="s">
        <v>196</v>
      </c>
      <c r="D704" s="0" t="s">
        <v>317</v>
      </c>
      <c r="E704" s="0" t="s">
        <v>154</v>
      </c>
      <c r="F704" s="0" t="s">
        <v>453</v>
      </c>
      <c r="G704" s="0" t="s">
        <v>454</v>
      </c>
      <c r="H704" s="0">
        <v>12</v>
      </c>
      <c r="I704" s="0">
        <v>47</v>
      </c>
      <c r="J704" s="0">
        <v>2080</v>
      </c>
    </row>
    <row r="705">
      <c r="A705" s="0" t="s">
        <v>28</v>
      </c>
      <c r="B705" s="0" t="s">
        <v>30</v>
      </c>
      <c r="C705" s="0" t="s">
        <v>196</v>
      </c>
      <c r="D705" s="0" t="s">
        <v>317</v>
      </c>
      <c r="E705" s="0" t="s">
        <v>154</v>
      </c>
      <c r="F705" s="0" t="s">
        <v>426</v>
      </c>
      <c r="G705" s="0" t="s">
        <v>114</v>
      </c>
      <c r="H705" s="0">
        <v>12</v>
      </c>
      <c r="I705" s="0">
        <v>47</v>
      </c>
      <c r="J705" s="0">
        <v>2080</v>
      </c>
    </row>
    <row r="706">
      <c r="A706" s="0" t="s">
        <v>28</v>
      </c>
      <c r="B706" s="0" t="s">
        <v>30</v>
      </c>
      <c r="C706" s="0" t="s">
        <v>196</v>
      </c>
      <c r="D706" s="0" t="s">
        <v>317</v>
      </c>
      <c r="E706" s="0" t="s">
        <v>154</v>
      </c>
      <c r="F706" s="0" t="s">
        <v>455</v>
      </c>
      <c r="G706" s="0" t="s">
        <v>456</v>
      </c>
      <c r="H706" s="0">
        <v>12</v>
      </c>
      <c r="I706" s="0">
        <v>47</v>
      </c>
      <c r="J706" s="0">
        <v>2080</v>
      </c>
    </row>
    <row r="707">
      <c r="A707" s="0" t="s">
        <v>28</v>
      </c>
      <c r="B707" s="0" t="s">
        <v>30</v>
      </c>
      <c r="C707" s="0" t="s">
        <v>196</v>
      </c>
      <c r="D707" s="0" t="s">
        <v>317</v>
      </c>
      <c r="E707" s="0" t="s">
        <v>154</v>
      </c>
      <c r="F707" s="0" t="s">
        <v>457</v>
      </c>
      <c r="G707" s="0" t="s">
        <v>458</v>
      </c>
      <c r="H707" s="0">
        <v>12</v>
      </c>
      <c r="I707" s="0">
        <v>47</v>
      </c>
      <c r="J707" s="0">
        <v>2080</v>
      </c>
    </row>
    <row r="708">
      <c r="A708" s="0" t="s">
        <v>28</v>
      </c>
      <c r="B708" s="0" t="s">
        <v>30</v>
      </c>
      <c r="C708" s="0" t="s">
        <v>196</v>
      </c>
      <c r="D708" s="0" t="s">
        <v>317</v>
      </c>
      <c r="E708" s="0" t="s">
        <v>154</v>
      </c>
      <c r="F708" s="0" t="s">
        <v>459</v>
      </c>
      <c r="G708" s="0" t="s">
        <v>318</v>
      </c>
      <c r="H708" s="0">
        <v>12</v>
      </c>
      <c r="I708" s="0">
        <v>47</v>
      </c>
      <c r="J708" s="0">
        <v>2080</v>
      </c>
    </row>
    <row r="709">
      <c r="A709" s="0" t="s">
        <v>28</v>
      </c>
      <c r="B709" s="0" t="s">
        <v>30</v>
      </c>
      <c r="C709" s="0" t="s">
        <v>196</v>
      </c>
      <c r="D709" s="0" t="s">
        <v>317</v>
      </c>
      <c r="E709" s="0" t="s">
        <v>154</v>
      </c>
      <c r="F709" s="0" t="s">
        <v>460</v>
      </c>
      <c r="G709" s="0" t="s">
        <v>268</v>
      </c>
      <c r="H709" s="0">
        <v>12</v>
      </c>
      <c r="I709" s="0">
        <v>47</v>
      </c>
      <c r="J709" s="0">
        <v>2080</v>
      </c>
    </row>
    <row r="710">
      <c r="A710" s="0" t="s">
        <v>28</v>
      </c>
      <c r="B710" s="0" t="s">
        <v>30</v>
      </c>
      <c r="C710" s="0" t="s">
        <v>196</v>
      </c>
      <c r="D710" s="0" t="s">
        <v>317</v>
      </c>
      <c r="E710" s="0" t="s">
        <v>154</v>
      </c>
      <c r="F710" s="0" t="s">
        <v>403</v>
      </c>
      <c r="G710" s="0" t="s">
        <v>461</v>
      </c>
      <c r="H710" s="0">
        <v>12</v>
      </c>
      <c r="I710" s="0">
        <v>47</v>
      </c>
      <c r="J710" s="0">
        <v>2080</v>
      </c>
    </row>
    <row r="711">
      <c r="A711" s="0" t="s">
        <v>28</v>
      </c>
      <c r="B711" s="0" t="s">
        <v>30</v>
      </c>
      <c r="C711" s="0" t="s">
        <v>196</v>
      </c>
      <c r="D711" s="0" t="s">
        <v>317</v>
      </c>
      <c r="E711" s="0" t="s">
        <v>154</v>
      </c>
      <c r="F711" s="0" t="s">
        <v>462</v>
      </c>
      <c r="G711" s="0" t="s">
        <v>463</v>
      </c>
      <c r="H711" s="0">
        <v>12</v>
      </c>
      <c r="I711" s="0">
        <v>47</v>
      </c>
      <c r="J711" s="0">
        <v>2080</v>
      </c>
    </row>
    <row r="712">
      <c r="A712" s="0" t="s">
        <v>28</v>
      </c>
      <c r="B712" s="0" t="s">
        <v>30</v>
      </c>
      <c r="C712" s="0" t="s">
        <v>196</v>
      </c>
      <c r="D712" s="0" t="s">
        <v>317</v>
      </c>
      <c r="E712" s="0" t="s">
        <v>154</v>
      </c>
      <c r="F712" s="0" t="s">
        <v>464</v>
      </c>
      <c r="G712" s="0" t="s">
        <v>269</v>
      </c>
      <c r="H712" s="0">
        <v>12</v>
      </c>
      <c r="I712" s="0">
        <v>47</v>
      </c>
      <c r="J712" s="0">
        <v>2080</v>
      </c>
    </row>
    <row r="713">
      <c r="A713" s="0" t="s">
        <v>28</v>
      </c>
      <c r="B713" s="0" t="s">
        <v>30</v>
      </c>
      <c r="C713" s="0" t="s">
        <v>196</v>
      </c>
      <c r="D713" s="0" t="s">
        <v>317</v>
      </c>
      <c r="E713" s="0" t="s">
        <v>154</v>
      </c>
      <c r="F713" s="0" t="s">
        <v>427</v>
      </c>
      <c r="G713" s="0" t="s">
        <v>439</v>
      </c>
      <c r="H713" s="0">
        <v>12</v>
      </c>
      <c r="I713" s="0">
        <v>47</v>
      </c>
      <c r="J713" s="0">
        <v>2080</v>
      </c>
    </row>
    <row r="714">
      <c r="A714" s="0" t="s">
        <v>28</v>
      </c>
      <c r="B714" s="0" t="s">
        <v>30</v>
      </c>
      <c r="C714" s="0" t="s">
        <v>196</v>
      </c>
      <c r="D714" s="0" t="s">
        <v>317</v>
      </c>
      <c r="E714" s="0" t="s">
        <v>154</v>
      </c>
      <c r="F714" s="0" t="s">
        <v>429</v>
      </c>
      <c r="G714" s="0" t="s">
        <v>430</v>
      </c>
      <c r="H714" s="0">
        <v>12</v>
      </c>
      <c r="I714" s="0">
        <v>47</v>
      </c>
      <c r="J714" s="0">
        <v>2080</v>
      </c>
    </row>
    <row r="715">
      <c r="A715" s="0" t="s">
        <v>28</v>
      </c>
      <c r="B715" s="0" t="s">
        <v>30</v>
      </c>
      <c r="C715" s="0" t="s">
        <v>196</v>
      </c>
      <c r="D715" s="0" t="s">
        <v>317</v>
      </c>
      <c r="E715" s="0" t="s">
        <v>154</v>
      </c>
      <c r="F715" s="0" t="s">
        <v>431</v>
      </c>
      <c r="G715" s="0" t="s">
        <v>432</v>
      </c>
      <c r="H715" s="0">
        <v>12</v>
      </c>
      <c r="I715" s="0">
        <v>47</v>
      </c>
      <c r="J715" s="0">
        <v>2080</v>
      </c>
    </row>
    <row r="716">
      <c r="A716" s="0" t="s">
        <v>28</v>
      </c>
      <c r="B716" s="0" t="s">
        <v>30</v>
      </c>
      <c r="C716" s="0" t="s">
        <v>196</v>
      </c>
      <c r="D716" s="0" t="s">
        <v>317</v>
      </c>
      <c r="E716" s="0" t="s">
        <v>154</v>
      </c>
      <c r="F716" s="0" t="s">
        <v>467</v>
      </c>
      <c r="G716" s="0" t="s">
        <v>270</v>
      </c>
      <c r="H716" s="0">
        <v>12</v>
      </c>
      <c r="I716" s="0">
        <v>47</v>
      </c>
      <c r="J716" s="0">
        <v>2080</v>
      </c>
    </row>
    <row r="717">
      <c r="A717" s="0" t="s">
        <v>28</v>
      </c>
      <c r="B717" s="0" t="s">
        <v>30</v>
      </c>
      <c r="C717" s="0" t="s">
        <v>196</v>
      </c>
      <c r="D717" s="0" t="s">
        <v>317</v>
      </c>
      <c r="E717" s="0" t="s">
        <v>154</v>
      </c>
      <c r="F717" s="0" t="s">
        <v>468</v>
      </c>
      <c r="G717" s="0" t="s">
        <v>271</v>
      </c>
      <c r="H717" s="0">
        <v>12</v>
      </c>
      <c r="I717" s="0">
        <v>47</v>
      </c>
      <c r="J717" s="0">
        <v>2080</v>
      </c>
    </row>
    <row r="718">
      <c r="A718" s="0" t="s">
        <v>28</v>
      </c>
      <c r="B718" s="0" t="s">
        <v>30</v>
      </c>
      <c r="C718" s="0" t="s">
        <v>196</v>
      </c>
      <c r="D718" s="0" t="s">
        <v>317</v>
      </c>
      <c r="E718" s="0" t="s">
        <v>154</v>
      </c>
      <c r="F718" s="0" t="s">
        <v>469</v>
      </c>
      <c r="G718" s="0" t="s">
        <v>470</v>
      </c>
      <c r="H718" s="0">
        <v>12</v>
      </c>
      <c r="I718" s="0">
        <v>47</v>
      </c>
      <c r="J718" s="0">
        <v>2080</v>
      </c>
    </row>
    <row r="719">
      <c r="A719" s="0" t="s">
        <v>28</v>
      </c>
      <c r="B719" s="0" t="s">
        <v>30</v>
      </c>
      <c r="C719" s="0" t="s">
        <v>196</v>
      </c>
      <c r="D719" s="0" t="s">
        <v>317</v>
      </c>
      <c r="E719" s="0" t="s">
        <v>154</v>
      </c>
      <c r="F719" s="0" t="s">
        <v>471</v>
      </c>
      <c r="G719" s="0" t="s">
        <v>272</v>
      </c>
      <c r="H719" s="0">
        <v>12</v>
      </c>
      <c r="I719" s="0">
        <v>47</v>
      </c>
      <c r="J719" s="0">
        <v>2080</v>
      </c>
    </row>
    <row r="720">
      <c r="A720" s="0" t="s">
        <v>28</v>
      </c>
      <c r="B720" s="0" t="s">
        <v>30</v>
      </c>
      <c r="C720" s="0" t="s">
        <v>196</v>
      </c>
      <c r="D720" s="0" t="s">
        <v>317</v>
      </c>
      <c r="E720" s="0" t="s">
        <v>154</v>
      </c>
      <c r="F720" s="0" t="s">
        <v>472</v>
      </c>
      <c r="G720" s="0" t="s">
        <v>473</v>
      </c>
      <c r="H720" s="0">
        <v>12</v>
      </c>
      <c r="I720" s="0">
        <v>47</v>
      </c>
      <c r="J720" s="0">
        <v>2080</v>
      </c>
    </row>
    <row r="721">
      <c r="A721" s="0" t="s">
        <v>28</v>
      </c>
      <c r="B721" s="0" t="s">
        <v>30</v>
      </c>
      <c r="C721" s="0" t="s">
        <v>196</v>
      </c>
      <c r="D721" s="0" t="s">
        <v>317</v>
      </c>
      <c r="E721" s="0" t="s">
        <v>154</v>
      </c>
      <c r="F721" s="0" t="s">
        <v>433</v>
      </c>
      <c r="G721" s="0" t="s">
        <v>434</v>
      </c>
      <c r="H721" s="0">
        <v>12</v>
      </c>
      <c r="I721" s="0">
        <v>47</v>
      </c>
      <c r="J721" s="0">
        <v>2080</v>
      </c>
    </row>
    <row r="722">
      <c r="A722" s="0" t="s">
        <v>28</v>
      </c>
      <c r="B722" s="0" t="s">
        <v>30</v>
      </c>
      <c r="C722" s="0" t="s">
        <v>196</v>
      </c>
      <c r="D722" s="0" t="s">
        <v>317</v>
      </c>
      <c r="E722" s="0" t="s">
        <v>154</v>
      </c>
      <c r="F722" s="0" t="s">
        <v>474</v>
      </c>
      <c r="G722" s="0" t="s">
        <v>272</v>
      </c>
      <c r="H722" s="0">
        <v>12</v>
      </c>
      <c r="I722" s="0">
        <v>47</v>
      </c>
      <c r="J722" s="0">
        <v>2080</v>
      </c>
    </row>
    <row r="723">
      <c r="A723" s="0" t="s">
        <v>28</v>
      </c>
      <c r="B723" s="0" t="s">
        <v>30</v>
      </c>
      <c r="C723" s="0" t="s">
        <v>196</v>
      </c>
      <c r="D723" s="0" t="s">
        <v>317</v>
      </c>
      <c r="E723" s="0" t="s">
        <v>154</v>
      </c>
      <c r="F723" s="0" t="s">
        <v>475</v>
      </c>
      <c r="G723" s="0" t="s">
        <v>476</v>
      </c>
      <c r="H723" s="0">
        <v>12</v>
      </c>
      <c r="I723" s="0">
        <v>47</v>
      </c>
      <c r="J723" s="0">
        <v>2080</v>
      </c>
    </row>
    <row r="724">
      <c r="A724" s="0" t="s">
        <v>28</v>
      </c>
      <c r="B724" s="0" t="s">
        <v>30</v>
      </c>
      <c r="C724" s="0" t="s">
        <v>196</v>
      </c>
      <c r="D724" s="0" t="s">
        <v>317</v>
      </c>
      <c r="E724" s="0" t="s">
        <v>154</v>
      </c>
      <c r="F724" s="0" t="s">
        <v>477</v>
      </c>
      <c r="G724" s="0" t="s">
        <v>478</v>
      </c>
      <c r="H724" s="0">
        <v>12</v>
      </c>
      <c r="I724" s="0">
        <v>47</v>
      </c>
      <c r="J724" s="0">
        <v>2080</v>
      </c>
    </row>
    <row r="725">
      <c r="A725" s="0" t="s">
        <v>28</v>
      </c>
      <c r="B725" s="0" t="s">
        <v>30</v>
      </c>
      <c r="C725" s="0" t="s">
        <v>196</v>
      </c>
      <c r="D725" s="0" t="s">
        <v>317</v>
      </c>
      <c r="E725" s="0" t="s">
        <v>154</v>
      </c>
      <c r="F725" s="0" t="s">
        <v>479</v>
      </c>
      <c r="G725" s="0" t="s">
        <v>273</v>
      </c>
      <c r="H725" s="0">
        <v>12</v>
      </c>
      <c r="I725" s="0">
        <v>47</v>
      </c>
      <c r="J725" s="0">
        <v>2080</v>
      </c>
    </row>
    <row r="726">
      <c r="A726" s="0" t="s">
        <v>28</v>
      </c>
      <c r="B726" s="0" t="s">
        <v>30</v>
      </c>
      <c r="C726" s="0" t="s">
        <v>196</v>
      </c>
      <c r="D726" s="0" t="s">
        <v>317</v>
      </c>
      <c r="E726" s="0" t="s">
        <v>154</v>
      </c>
      <c r="F726" s="0" t="s">
        <v>480</v>
      </c>
      <c r="G726" s="0" t="s">
        <v>274</v>
      </c>
      <c r="H726" s="0">
        <v>12</v>
      </c>
      <c r="I726" s="0">
        <v>47</v>
      </c>
      <c r="J726" s="0">
        <v>2080</v>
      </c>
    </row>
    <row r="727">
      <c r="A727" s="0" t="s">
        <v>28</v>
      </c>
      <c r="B727" s="0" t="s">
        <v>30</v>
      </c>
      <c r="C727" s="0" t="s">
        <v>196</v>
      </c>
      <c r="D727" s="0" t="s">
        <v>317</v>
      </c>
      <c r="E727" s="0" t="s">
        <v>154</v>
      </c>
      <c r="F727" s="0" t="s">
        <v>481</v>
      </c>
      <c r="G727" s="0" t="s">
        <v>275</v>
      </c>
      <c r="H727" s="0">
        <v>12</v>
      </c>
      <c r="I727" s="0">
        <v>47</v>
      </c>
      <c r="J727" s="0">
        <v>2080</v>
      </c>
    </row>
    <row r="728">
      <c r="A728" s="0" t="s">
        <v>28</v>
      </c>
      <c r="B728" s="0" t="s">
        <v>30</v>
      </c>
      <c r="C728" s="0" t="s">
        <v>196</v>
      </c>
      <c r="D728" s="0" t="s">
        <v>317</v>
      </c>
      <c r="E728" s="0" t="s">
        <v>154</v>
      </c>
      <c r="F728" s="0" t="s">
        <v>482</v>
      </c>
      <c r="G728" s="0" t="s">
        <v>483</v>
      </c>
      <c r="H728" s="0">
        <v>12</v>
      </c>
      <c r="I728" s="0">
        <v>47</v>
      </c>
      <c r="J728" s="0">
        <v>2080</v>
      </c>
    </row>
    <row r="729">
      <c r="A729" s="0" t="s">
        <v>28</v>
      </c>
      <c r="B729" s="0" t="s">
        <v>30</v>
      </c>
      <c r="C729" s="0" t="s">
        <v>196</v>
      </c>
      <c r="D729" s="0" t="s">
        <v>317</v>
      </c>
      <c r="E729" s="0" t="s">
        <v>154</v>
      </c>
      <c r="F729" s="0" t="s">
        <v>484</v>
      </c>
      <c r="G729" s="0" t="s">
        <v>272</v>
      </c>
      <c r="H729" s="0">
        <v>12</v>
      </c>
      <c r="I729" s="0">
        <v>47</v>
      </c>
      <c r="J729" s="0">
        <v>2080</v>
      </c>
    </row>
    <row r="730">
      <c r="A730" s="0" t="s">
        <v>28</v>
      </c>
      <c r="B730" s="0" t="s">
        <v>30</v>
      </c>
      <c r="C730" s="0" t="s">
        <v>196</v>
      </c>
      <c r="D730" s="0" t="s">
        <v>317</v>
      </c>
      <c r="E730" s="0" t="s">
        <v>154</v>
      </c>
      <c r="F730" s="0" t="s">
        <v>485</v>
      </c>
      <c r="G730" s="0" t="s">
        <v>473</v>
      </c>
      <c r="H730" s="0">
        <v>12</v>
      </c>
      <c r="I730" s="0">
        <v>47</v>
      </c>
      <c r="J730" s="0">
        <v>2080</v>
      </c>
    </row>
    <row r="731">
      <c r="A731" s="0" t="s">
        <v>28</v>
      </c>
      <c r="B731" s="0" t="s">
        <v>30</v>
      </c>
      <c r="C731" s="0" t="s">
        <v>196</v>
      </c>
      <c r="D731" s="0" t="s">
        <v>317</v>
      </c>
      <c r="E731" s="0" t="s">
        <v>154</v>
      </c>
      <c r="F731" s="0" t="s">
        <v>486</v>
      </c>
      <c r="G731" s="0" t="s">
        <v>272</v>
      </c>
      <c r="H731" s="0">
        <v>12</v>
      </c>
      <c r="I731" s="0">
        <v>47</v>
      </c>
      <c r="J731" s="0">
        <v>2080</v>
      </c>
    </row>
    <row r="732">
      <c r="A732" s="0" t="s">
        <v>28</v>
      </c>
      <c r="B732" s="0" t="s">
        <v>30</v>
      </c>
      <c r="C732" s="0" t="s">
        <v>196</v>
      </c>
      <c r="D732" s="0" t="s">
        <v>317</v>
      </c>
      <c r="E732" s="0" t="s">
        <v>154</v>
      </c>
      <c r="F732" s="0" t="s">
        <v>487</v>
      </c>
      <c r="G732" s="0" t="s">
        <v>276</v>
      </c>
      <c r="H732" s="0">
        <v>12</v>
      </c>
      <c r="I732" s="0">
        <v>47</v>
      </c>
      <c r="J732" s="0">
        <v>2080</v>
      </c>
    </row>
    <row r="733">
      <c r="A733" s="0" t="s">
        <v>28</v>
      </c>
      <c r="B733" s="0" t="s">
        <v>30</v>
      </c>
      <c r="C733" s="0" t="s">
        <v>196</v>
      </c>
      <c r="D733" s="0" t="s">
        <v>317</v>
      </c>
      <c r="E733" s="0" t="s">
        <v>154</v>
      </c>
      <c r="F733" s="0" t="s">
        <v>435</v>
      </c>
      <c r="G733" s="0" t="s">
        <v>344</v>
      </c>
      <c r="H733" s="0">
        <v>12</v>
      </c>
      <c r="I733" s="0">
        <v>47</v>
      </c>
      <c r="J733" s="0">
        <v>2080</v>
      </c>
    </row>
    <row r="734">
      <c r="A734" s="0" t="s">
        <v>28</v>
      </c>
      <c r="B734" s="0" t="s">
        <v>30</v>
      </c>
      <c r="C734" s="0" t="s">
        <v>196</v>
      </c>
      <c r="D734" s="0" t="s">
        <v>317</v>
      </c>
      <c r="E734" s="0" t="s">
        <v>154</v>
      </c>
      <c r="F734" s="0" t="s">
        <v>490</v>
      </c>
      <c r="G734" s="0" t="s">
        <v>491</v>
      </c>
      <c r="H734" s="0">
        <v>12</v>
      </c>
      <c r="I734" s="0">
        <v>47</v>
      </c>
      <c r="J734" s="0">
        <v>2080</v>
      </c>
    </row>
    <row r="735">
      <c r="A735" s="0" t="s">
        <v>28</v>
      </c>
      <c r="B735" s="0" t="s">
        <v>30</v>
      </c>
      <c r="C735" s="0" t="s">
        <v>196</v>
      </c>
      <c r="D735" s="0" t="s">
        <v>317</v>
      </c>
      <c r="E735" s="0" t="s">
        <v>154</v>
      </c>
      <c r="F735" s="0" t="s">
        <v>436</v>
      </c>
      <c r="G735" s="0" t="s">
        <v>437</v>
      </c>
      <c r="H735" s="0">
        <v>12</v>
      </c>
      <c r="I735" s="0">
        <v>47</v>
      </c>
      <c r="J735" s="0">
        <v>2080</v>
      </c>
    </row>
    <row r="736">
      <c r="A736" s="0" t="s">
        <v>28</v>
      </c>
      <c r="B736" s="0" t="s">
        <v>30</v>
      </c>
      <c r="C736" s="0" t="s">
        <v>196</v>
      </c>
      <c r="D736" s="0" t="s">
        <v>317</v>
      </c>
      <c r="E736" s="0" t="s">
        <v>154</v>
      </c>
      <c r="F736" s="0" t="s">
        <v>494</v>
      </c>
      <c r="G736" s="0" t="s">
        <v>277</v>
      </c>
      <c r="H736" s="0">
        <v>12</v>
      </c>
      <c r="I736" s="0">
        <v>47</v>
      </c>
      <c r="J736" s="0">
        <v>2080</v>
      </c>
    </row>
    <row r="737">
      <c r="A737" s="0" t="s">
        <v>28</v>
      </c>
      <c r="B737" s="0" t="s">
        <v>30</v>
      </c>
      <c r="C737" s="0" t="s">
        <v>196</v>
      </c>
      <c r="D737" s="0" t="s">
        <v>317</v>
      </c>
      <c r="E737" s="0" t="s">
        <v>154</v>
      </c>
      <c r="F737" s="0" t="s">
        <v>495</v>
      </c>
      <c r="G737" s="0" t="s">
        <v>257</v>
      </c>
      <c r="H737" s="0">
        <v>12</v>
      </c>
      <c r="I737" s="0">
        <v>47</v>
      </c>
      <c r="J737" s="0">
        <v>2080</v>
      </c>
    </row>
    <row r="738">
      <c r="A738" s="0" t="s">
        <v>28</v>
      </c>
      <c r="B738" s="0" t="s">
        <v>30</v>
      </c>
      <c r="C738" s="0" t="s">
        <v>196</v>
      </c>
      <c r="D738" s="0" t="s">
        <v>317</v>
      </c>
      <c r="E738" s="0" t="s">
        <v>154</v>
      </c>
      <c r="F738" s="0" t="s">
        <v>496</v>
      </c>
      <c r="G738" s="0" t="s">
        <v>286</v>
      </c>
      <c r="H738" s="0">
        <v>12</v>
      </c>
      <c r="I738" s="0">
        <v>47</v>
      </c>
      <c r="J738" s="0">
        <v>2080</v>
      </c>
    </row>
    <row r="739">
      <c r="A739" s="0" t="s">
        <v>28</v>
      </c>
      <c r="B739" s="0" t="s">
        <v>30</v>
      </c>
      <c r="C739" s="0" t="s">
        <v>196</v>
      </c>
      <c r="D739" s="0" t="s">
        <v>317</v>
      </c>
      <c r="E739" s="0" t="s">
        <v>154</v>
      </c>
      <c r="F739" s="0" t="s">
        <v>497</v>
      </c>
      <c r="G739" s="0" t="s">
        <v>498</v>
      </c>
      <c r="H739" s="0">
        <v>12</v>
      </c>
      <c r="I739" s="0">
        <v>47</v>
      </c>
      <c r="J739" s="0">
        <v>2080</v>
      </c>
    </row>
    <row r="740">
      <c r="A740" s="0" t="s">
        <v>28</v>
      </c>
      <c r="B740" s="0" t="s">
        <v>30</v>
      </c>
      <c r="C740" s="0" t="s">
        <v>196</v>
      </c>
      <c r="D740" s="0" t="s">
        <v>317</v>
      </c>
      <c r="E740" s="0" t="s">
        <v>154</v>
      </c>
      <c r="F740" s="0" t="s">
        <v>499</v>
      </c>
      <c r="G740" s="0" t="s">
        <v>570</v>
      </c>
      <c r="H740" s="0">
        <v>12</v>
      </c>
      <c r="I740" s="0">
        <v>47</v>
      </c>
      <c r="J740" s="0">
        <v>2080</v>
      </c>
    </row>
    <row r="741">
      <c r="A741" s="0" t="s">
        <v>28</v>
      </c>
      <c r="B741" s="0" t="s">
        <v>30</v>
      </c>
      <c r="C741" s="0" t="s">
        <v>196</v>
      </c>
      <c r="D741" s="0" t="s">
        <v>317</v>
      </c>
      <c r="E741" s="0" t="s">
        <v>154</v>
      </c>
      <c r="F741" s="0" t="s">
        <v>501</v>
      </c>
      <c r="G741" s="0" t="s">
        <v>502</v>
      </c>
      <c r="H741" s="0">
        <v>12</v>
      </c>
      <c r="I741" s="0">
        <v>47</v>
      </c>
      <c r="J741" s="0">
        <v>2080</v>
      </c>
    </row>
    <row r="742">
      <c r="A742" s="0" t="s">
        <v>28</v>
      </c>
      <c r="B742" s="0" t="s">
        <v>30</v>
      </c>
      <c r="C742" s="0" t="s">
        <v>196</v>
      </c>
      <c r="D742" s="0" t="s">
        <v>317</v>
      </c>
      <c r="E742" s="0" t="s">
        <v>154</v>
      </c>
      <c r="F742" s="0" t="s">
        <v>503</v>
      </c>
      <c r="G742" s="0" t="s">
        <v>504</v>
      </c>
      <c r="H742" s="0">
        <v>12</v>
      </c>
      <c r="I742" s="0">
        <v>47</v>
      </c>
      <c r="J742" s="0">
        <v>2080</v>
      </c>
    </row>
    <row r="743">
      <c r="A743" s="0" t="s">
        <v>28</v>
      </c>
      <c r="B743" s="0" t="s">
        <v>30</v>
      </c>
      <c r="C743" s="0" t="s">
        <v>196</v>
      </c>
      <c r="D743" s="0" t="s">
        <v>317</v>
      </c>
      <c r="E743" s="0" t="s">
        <v>154</v>
      </c>
      <c r="F743" s="0" t="s">
        <v>505</v>
      </c>
      <c r="G743" s="0" t="s">
        <v>506</v>
      </c>
      <c r="H743" s="0">
        <v>12</v>
      </c>
      <c r="I743" s="0">
        <v>47</v>
      </c>
      <c r="J743" s="0">
        <v>2080</v>
      </c>
    </row>
    <row r="744">
      <c r="A744" s="0" t="s">
        <v>28</v>
      </c>
      <c r="B744" s="0" t="s">
        <v>30</v>
      </c>
      <c r="C744" s="0" t="s">
        <v>196</v>
      </c>
      <c r="D744" s="0" t="s">
        <v>317</v>
      </c>
      <c r="E744" s="0" t="s">
        <v>154</v>
      </c>
      <c r="F744" s="0" t="s">
        <v>507</v>
      </c>
      <c r="G744" s="0" t="s">
        <v>508</v>
      </c>
      <c r="H744" s="0">
        <v>12</v>
      </c>
      <c r="I744" s="0">
        <v>47</v>
      </c>
      <c r="J744" s="0">
        <v>2080</v>
      </c>
    </row>
    <row r="745">
      <c r="A745" s="0" t="s">
        <v>28</v>
      </c>
      <c r="B745" s="0" t="s">
        <v>30</v>
      </c>
      <c r="C745" s="0" t="s">
        <v>196</v>
      </c>
      <c r="D745" s="0" t="s">
        <v>317</v>
      </c>
      <c r="E745" s="0" t="s">
        <v>154</v>
      </c>
      <c r="F745" s="0" t="s">
        <v>509</v>
      </c>
      <c r="G745" s="0" t="s">
        <v>114</v>
      </c>
      <c r="H745" s="0">
        <v>12</v>
      </c>
      <c r="I745" s="0">
        <v>47</v>
      </c>
      <c r="J745" s="0">
        <v>2080</v>
      </c>
    </row>
    <row r="746">
      <c r="A746" s="0" t="s">
        <v>28</v>
      </c>
      <c r="B746" s="0" t="s">
        <v>30</v>
      </c>
      <c r="C746" s="0" t="s">
        <v>196</v>
      </c>
      <c r="D746" s="0" t="s">
        <v>317</v>
      </c>
      <c r="E746" s="0" t="s">
        <v>154</v>
      </c>
      <c r="F746" s="0" t="s">
        <v>510</v>
      </c>
      <c r="G746" s="0" t="s">
        <v>511</v>
      </c>
      <c r="H746" s="0">
        <v>12</v>
      </c>
      <c r="I746" s="0">
        <v>47</v>
      </c>
      <c r="J746" s="0">
        <v>2080</v>
      </c>
    </row>
    <row r="747">
      <c r="A747" s="0" t="s">
        <v>28</v>
      </c>
      <c r="B747" s="0" t="s">
        <v>30</v>
      </c>
      <c r="C747" s="0" t="s">
        <v>196</v>
      </c>
      <c r="D747" s="0" t="s">
        <v>317</v>
      </c>
      <c r="E747" s="0" t="s">
        <v>154</v>
      </c>
      <c r="F747" s="0" t="s">
        <v>512</v>
      </c>
      <c r="G747" s="0" t="s">
        <v>568</v>
      </c>
      <c r="H747" s="0">
        <v>12</v>
      </c>
      <c r="I747" s="0">
        <v>47</v>
      </c>
      <c r="J747" s="0">
        <v>2080</v>
      </c>
    </row>
    <row r="748">
      <c r="A748" s="0" t="s">
        <v>28</v>
      </c>
      <c r="B748" s="0" t="s">
        <v>30</v>
      </c>
      <c r="C748" s="0" t="s">
        <v>196</v>
      </c>
      <c r="D748" s="0" t="s">
        <v>317</v>
      </c>
      <c r="E748" s="0" t="s">
        <v>154</v>
      </c>
      <c r="F748" s="0" t="s">
        <v>514</v>
      </c>
      <c r="G748" s="0" t="s">
        <v>515</v>
      </c>
      <c r="H748" s="0">
        <v>12</v>
      </c>
      <c r="I748" s="0">
        <v>47</v>
      </c>
      <c r="J748" s="0">
        <v>2080</v>
      </c>
    </row>
    <row r="749">
      <c r="A749" s="0" t="s">
        <v>28</v>
      </c>
      <c r="B749" s="0" t="s">
        <v>30</v>
      </c>
      <c r="C749" s="0" t="s">
        <v>196</v>
      </c>
      <c r="D749" s="0" t="s">
        <v>317</v>
      </c>
      <c r="E749" s="0" t="s">
        <v>154</v>
      </c>
      <c r="F749" s="0" t="s">
        <v>516</v>
      </c>
      <c r="G749" s="0" t="s">
        <v>450</v>
      </c>
      <c r="H749" s="0">
        <v>12</v>
      </c>
      <c r="I749" s="0">
        <v>47</v>
      </c>
      <c r="J749" s="0">
        <v>2080</v>
      </c>
    </row>
    <row r="750">
      <c r="A750" s="0" t="s">
        <v>28</v>
      </c>
      <c r="B750" s="0" t="s">
        <v>30</v>
      </c>
      <c r="C750" s="0" t="s">
        <v>196</v>
      </c>
      <c r="D750" s="0" t="s">
        <v>317</v>
      </c>
      <c r="E750" s="0" t="s">
        <v>154</v>
      </c>
      <c r="F750" s="0" t="s">
        <v>517</v>
      </c>
      <c r="G750" s="0" t="s">
        <v>518</v>
      </c>
      <c r="H750" s="0">
        <v>12</v>
      </c>
      <c r="I750" s="0">
        <v>47</v>
      </c>
      <c r="J750" s="0">
        <v>2080</v>
      </c>
    </row>
    <row r="751">
      <c r="A751" s="0" t="s">
        <v>28</v>
      </c>
      <c r="B751" s="0" t="s">
        <v>30</v>
      </c>
      <c r="C751" s="0" t="s">
        <v>196</v>
      </c>
      <c r="D751" s="0" t="s">
        <v>317</v>
      </c>
      <c r="E751" s="0" t="s">
        <v>154</v>
      </c>
      <c r="F751" s="0" t="s">
        <v>519</v>
      </c>
      <c r="G751" s="0" t="s">
        <v>520</v>
      </c>
      <c r="H751" s="0">
        <v>12</v>
      </c>
      <c r="I751" s="0">
        <v>47</v>
      </c>
      <c r="J751" s="0">
        <v>2080</v>
      </c>
    </row>
    <row r="752">
      <c r="A752" s="0" t="s">
        <v>28</v>
      </c>
      <c r="B752" s="0" t="s">
        <v>30</v>
      </c>
      <c r="C752" s="0" t="s">
        <v>196</v>
      </c>
      <c r="D752" s="0" t="s">
        <v>317</v>
      </c>
      <c r="E752" s="0" t="s">
        <v>154</v>
      </c>
      <c r="F752" s="0" t="s">
        <v>521</v>
      </c>
      <c r="G752" s="0" t="s">
        <v>341</v>
      </c>
      <c r="H752" s="0">
        <v>12</v>
      </c>
      <c r="I752" s="0">
        <v>47</v>
      </c>
      <c r="J752" s="0">
        <v>2080</v>
      </c>
    </row>
    <row r="753">
      <c r="A753" s="0" t="s">
        <v>28</v>
      </c>
      <c r="B753" s="0" t="s">
        <v>30</v>
      </c>
      <c r="C753" s="0" t="s">
        <v>196</v>
      </c>
      <c r="D753" s="0" t="s">
        <v>317</v>
      </c>
      <c r="E753" s="0" t="s">
        <v>154</v>
      </c>
      <c r="F753" s="0" t="s">
        <v>522</v>
      </c>
      <c r="G753" s="0" t="s">
        <v>523</v>
      </c>
      <c r="H753" s="0">
        <v>12</v>
      </c>
      <c r="I753" s="0">
        <v>47</v>
      </c>
      <c r="J753" s="0">
        <v>2080</v>
      </c>
    </row>
    <row r="754">
      <c r="A754" s="0" t="s">
        <v>28</v>
      </c>
      <c r="B754" s="0" t="s">
        <v>30</v>
      </c>
      <c r="C754" s="0" t="s">
        <v>196</v>
      </c>
      <c r="D754" s="0" t="s">
        <v>317</v>
      </c>
      <c r="E754" s="0" t="s">
        <v>154</v>
      </c>
      <c r="F754" s="0" t="s">
        <v>524</v>
      </c>
      <c r="G754" s="0" t="s">
        <v>454</v>
      </c>
      <c r="H754" s="0">
        <v>12</v>
      </c>
      <c r="I754" s="0">
        <v>47</v>
      </c>
      <c r="J754" s="0">
        <v>2080</v>
      </c>
    </row>
    <row r="755">
      <c r="A755" s="0" t="s">
        <v>28</v>
      </c>
      <c r="B755" s="0" t="s">
        <v>30</v>
      </c>
      <c r="C755" s="0" t="s">
        <v>196</v>
      </c>
      <c r="D755" s="0" t="s">
        <v>317</v>
      </c>
      <c r="E755" s="0" t="s">
        <v>154</v>
      </c>
      <c r="F755" s="0" t="s">
        <v>526</v>
      </c>
      <c r="G755" s="0" t="s">
        <v>569</v>
      </c>
      <c r="H755" s="0">
        <v>12</v>
      </c>
      <c r="I755" s="0">
        <v>47</v>
      </c>
      <c r="J755" s="0">
        <v>2080</v>
      </c>
    </row>
    <row r="756">
      <c r="A756" s="0" t="s">
        <v>28</v>
      </c>
      <c r="B756" s="0" t="s">
        <v>30</v>
      </c>
      <c r="C756" s="0" t="s">
        <v>196</v>
      </c>
      <c r="D756" s="0" t="s">
        <v>317</v>
      </c>
      <c r="E756" s="0" t="s">
        <v>154</v>
      </c>
      <c r="F756" s="0" t="s">
        <v>528</v>
      </c>
      <c r="G756" s="0" t="s">
        <v>529</v>
      </c>
      <c r="H756" s="0">
        <v>12</v>
      </c>
      <c r="I756" s="0">
        <v>47</v>
      </c>
      <c r="J756" s="0">
        <v>2080</v>
      </c>
    </row>
    <row r="757">
      <c r="A757" s="0" t="s">
        <v>28</v>
      </c>
      <c r="B757" s="0" t="s">
        <v>30</v>
      </c>
      <c r="C757" s="0" t="s">
        <v>196</v>
      </c>
      <c r="D757" s="0" t="s">
        <v>317</v>
      </c>
      <c r="E757" s="0" t="s">
        <v>154</v>
      </c>
      <c r="F757" s="0" t="s">
        <v>530</v>
      </c>
      <c r="G757" s="0" t="s">
        <v>315</v>
      </c>
      <c r="H757" s="0">
        <v>12</v>
      </c>
      <c r="I757" s="0">
        <v>47</v>
      </c>
      <c r="J757" s="0">
        <v>2080</v>
      </c>
    </row>
    <row r="758">
      <c r="A758" s="0" t="s">
        <v>28</v>
      </c>
      <c r="B758" s="0" t="s">
        <v>30</v>
      </c>
      <c r="C758" s="0" t="s">
        <v>196</v>
      </c>
      <c r="D758" s="0" t="s">
        <v>317</v>
      </c>
      <c r="E758" s="0" t="s">
        <v>154</v>
      </c>
      <c r="F758" s="0" t="s">
        <v>531</v>
      </c>
      <c r="G758" s="0" t="s">
        <v>532</v>
      </c>
      <c r="H758" s="0">
        <v>12</v>
      </c>
      <c r="I758" s="0">
        <v>47</v>
      </c>
      <c r="J758" s="0">
        <v>2080</v>
      </c>
    </row>
    <row r="759">
      <c r="A759" s="0" t="s">
        <v>28</v>
      </c>
      <c r="B759" s="0" t="s">
        <v>30</v>
      </c>
      <c r="C759" s="0" t="s">
        <v>196</v>
      </c>
      <c r="D759" s="0" t="s">
        <v>320</v>
      </c>
      <c r="E759" s="0" t="s">
        <v>154</v>
      </c>
      <c r="F759" s="0" t="s">
        <v>327</v>
      </c>
      <c r="G759" s="0" t="s">
        <v>30</v>
      </c>
      <c r="H759" s="0">
        <v>12</v>
      </c>
      <c r="I759" s="0">
        <v>47</v>
      </c>
      <c r="J759" s="0">
        <v>2792</v>
      </c>
    </row>
    <row r="760">
      <c r="A760" s="0" t="s">
        <v>28</v>
      </c>
      <c r="B760" s="0" t="s">
        <v>30</v>
      </c>
      <c r="C760" s="0" t="s">
        <v>196</v>
      </c>
      <c r="D760" s="0" t="s">
        <v>320</v>
      </c>
      <c r="E760" s="0" t="s">
        <v>154</v>
      </c>
      <c r="F760" s="0" t="s">
        <v>328</v>
      </c>
      <c r="G760" s="0" t="s">
        <v>320</v>
      </c>
      <c r="H760" s="0">
        <v>12</v>
      </c>
      <c r="I760" s="0">
        <v>47</v>
      </c>
      <c r="J760" s="0">
        <v>2792</v>
      </c>
    </row>
    <row r="761">
      <c r="A761" s="0" t="s">
        <v>28</v>
      </c>
      <c r="B761" s="0" t="s">
        <v>30</v>
      </c>
      <c r="C761" s="0" t="s">
        <v>196</v>
      </c>
      <c r="D761" s="0" t="s">
        <v>320</v>
      </c>
      <c r="E761" s="0" t="s">
        <v>154</v>
      </c>
      <c r="F761" s="0" t="s">
        <v>329</v>
      </c>
      <c r="G761" s="0" t="s">
        <v>196</v>
      </c>
      <c r="H761" s="0">
        <v>12</v>
      </c>
      <c r="I761" s="0">
        <v>47</v>
      </c>
      <c r="J761" s="0">
        <v>2792</v>
      </c>
    </row>
    <row r="762">
      <c r="A762" s="0" t="s">
        <v>28</v>
      </c>
      <c r="B762" s="0" t="s">
        <v>30</v>
      </c>
      <c r="C762" s="0" t="s">
        <v>196</v>
      </c>
      <c r="D762" s="0" t="s">
        <v>320</v>
      </c>
      <c r="E762" s="0" t="s">
        <v>154</v>
      </c>
      <c r="F762" s="0" t="s">
        <v>444</v>
      </c>
      <c r="G762" s="0" t="s">
        <v>566</v>
      </c>
      <c r="H762" s="0">
        <v>12</v>
      </c>
      <c r="I762" s="0">
        <v>47</v>
      </c>
      <c r="J762" s="0">
        <v>2792</v>
      </c>
    </row>
    <row r="763">
      <c r="A763" s="0" t="s">
        <v>28</v>
      </c>
      <c r="B763" s="0" t="s">
        <v>30</v>
      </c>
      <c r="C763" s="0" t="s">
        <v>196</v>
      </c>
      <c r="D763" s="0" t="s">
        <v>320</v>
      </c>
      <c r="E763" s="0" t="s">
        <v>154</v>
      </c>
      <c r="F763" s="0" t="s">
        <v>446</v>
      </c>
      <c r="G763" s="0" t="s">
        <v>341</v>
      </c>
      <c r="H763" s="0">
        <v>12</v>
      </c>
      <c r="I763" s="0">
        <v>47</v>
      </c>
      <c r="J763" s="0">
        <v>2792</v>
      </c>
    </row>
    <row r="764">
      <c r="A764" s="0" t="s">
        <v>28</v>
      </c>
      <c r="B764" s="0" t="s">
        <v>30</v>
      </c>
      <c r="C764" s="0" t="s">
        <v>196</v>
      </c>
      <c r="D764" s="0" t="s">
        <v>320</v>
      </c>
      <c r="E764" s="0" t="s">
        <v>154</v>
      </c>
      <c r="F764" s="0" t="s">
        <v>447</v>
      </c>
      <c r="G764" s="0" t="s">
        <v>448</v>
      </c>
      <c r="H764" s="0">
        <v>12</v>
      </c>
      <c r="I764" s="0">
        <v>47</v>
      </c>
      <c r="J764" s="0">
        <v>2792</v>
      </c>
    </row>
    <row r="765">
      <c r="A765" s="0" t="s">
        <v>28</v>
      </c>
      <c r="B765" s="0" t="s">
        <v>30</v>
      </c>
      <c r="C765" s="0" t="s">
        <v>196</v>
      </c>
      <c r="D765" s="0" t="s">
        <v>320</v>
      </c>
      <c r="E765" s="0" t="s">
        <v>154</v>
      </c>
      <c r="F765" s="0" t="s">
        <v>423</v>
      </c>
      <c r="G765" s="0" t="s">
        <v>440</v>
      </c>
      <c r="H765" s="0">
        <v>12</v>
      </c>
      <c r="I765" s="0">
        <v>47</v>
      </c>
      <c r="J765" s="0">
        <v>2792</v>
      </c>
    </row>
    <row r="766">
      <c r="A766" s="0" t="s">
        <v>28</v>
      </c>
      <c r="B766" s="0" t="s">
        <v>30</v>
      </c>
      <c r="C766" s="0" t="s">
        <v>196</v>
      </c>
      <c r="D766" s="0" t="s">
        <v>320</v>
      </c>
      <c r="E766" s="0" t="s">
        <v>154</v>
      </c>
      <c r="F766" s="0" t="s">
        <v>425</v>
      </c>
      <c r="G766" s="0" t="s">
        <v>440</v>
      </c>
      <c r="H766" s="0">
        <v>12</v>
      </c>
      <c r="I766" s="0">
        <v>47</v>
      </c>
      <c r="J766" s="0">
        <v>2792</v>
      </c>
    </row>
    <row r="767">
      <c r="A767" s="0" t="s">
        <v>28</v>
      </c>
      <c r="B767" s="0" t="s">
        <v>30</v>
      </c>
      <c r="C767" s="0" t="s">
        <v>196</v>
      </c>
      <c r="D767" s="0" t="s">
        <v>320</v>
      </c>
      <c r="E767" s="0" t="s">
        <v>154</v>
      </c>
      <c r="F767" s="0" t="s">
        <v>449</v>
      </c>
      <c r="G767" s="0" t="s">
        <v>450</v>
      </c>
      <c r="H767" s="0">
        <v>12</v>
      </c>
      <c r="I767" s="0">
        <v>47</v>
      </c>
      <c r="J767" s="0">
        <v>2792</v>
      </c>
    </row>
    <row r="768">
      <c r="A768" s="0" t="s">
        <v>28</v>
      </c>
      <c r="B768" s="0" t="s">
        <v>30</v>
      </c>
      <c r="C768" s="0" t="s">
        <v>196</v>
      </c>
      <c r="D768" s="0" t="s">
        <v>320</v>
      </c>
      <c r="E768" s="0" t="s">
        <v>154</v>
      </c>
      <c r="F768" s="0" t="s">
        <v>451</v>
      </c>
      <c r="G768" s="0" t="s">
        <v>452</v>
      </c>
      <c r="H768" s="0">
        <v>12</v>
      </c>
      <c r="I768" s="0">
        <v>47</v>
      </c>
      <c r="J768" s="0">
        <v>2792</v>
      </c>
    </row>
    <row r="769">
      <c r="A769" s="0" t="s">
        <v>28</v>
      </c>
      <c r="B769" s="0" t="s">
        <v>30</v>
      </c>
      <c r="C769" s="0" t="s">
        <v>196</v>
      </c>
      <c r="D769" s="0" t="s">
        <v>320</v>
      </c>
      <c r="E769" s="0" t="s">
        <v>154</v>
      </c>
      <c r="F769" s="0" t="s">
        <v>453</v>
      </c>
      <c r="G769" s="0" t="s">
        <v>454</v>
      </c>
      <c r="H769" s="0">
        <v>12</v>
      </c>
      <c r="I769" s="0">
        <v>47</v>
      </c>
      <c r="J769" s="0">
        <v>2792</v>
      </c>
    </row>
    <row r="770">
      <c r="A770" s="0" t="s">
        <v>28</v>
      </c>
      <c r="B770" s="0" t="s">
        <v>30</v>
      </c>
      <c r="C770" s="0" t="s">
        <v>196</v>
      </c>
      <c r="D770" s="0" t="s">
        <v>320</v>
      </c>
      <c r="E770" s="0" t="s">
        <v>154</v>
      </c>
      <c r="F770" s="0" t="s">
        <v>426</v>
      </c>
      <c r="G770" s="0" t="s">
        <v>114</v>
      </c>
      <c r="H770" s="0">
        <v>12</v>
      </c>
      <c r="I770" s="0">
        <v>47</v>
      </c>
      <c r="J770" s="0">
        <v>2792</v>
      </c>
    </row>
    <row r="771">
      <c r="A771" s="0" t="s">
        <v>28</v>
      </c>
      <c r="B771" s="0" t="s">
        <v>30</v>
      </c>
      <c r="C771" s="0" t="s">
        <v>196</v>
      </c>
      <c r="D771" s="0" t="s">
        <v>320</v>
      </c>
      <c r="E771" s="0" t="s">
        <v>154</v>
      </c>
      <c r="F771" s="0" t="s">
        <v>455</v>
      </c>
      <c r="G771" s="0" t="s">
        <v>456</v>
      </c>
      <c r="H771" s="0">
        <v>12</v>
      </c>
      <c r="I771" s="0">
        <v>47</v>
      </c>
      <c r="J771" s="0">
        <v>2792</v>
      </c>
    </row>
    <row r="772">
      <c r="A772" s="0" t="s">
        <v>28</v>
      </c>
      <c r="B772" s="0" t="s">
        <v>30</v>
      </c>
      <c r="C772" s="0" t="s">
        <v>196</v>
      </c>
      <c r="D772" s="0" t="s">
        <v>320</v>
      </c>
      <c r="E772" s="0" t="s">
        <v>154</v>
      </c>
      <c r="F772" s="0" t="s">
        <v>457</v>
      </c>
      <c r="G772" s="0" t="s">
        <v>458</v>
      </c>
      <c r="H772" s="0">
        <v>12</v>
      </c>
      <c r="I772" s="0">
        <v>47</v>
      </c>
      <c r="J772" s="0">
        <v>2792</v>
      </c>
    </row>
    <row r="773">
      <c r="A773" s="0" t="s">
        <v>28</v>
      </c>
      <c r="B773" s="0" t="s">
        <v>30</v>
      </c>
      <c r="C773" s="0" t="s">
        <v>196</v>
      </c>
      <c r="D773" s="0" t="s">
        <v>320</v>
      </c>
      <c r="E773" s="0" t="s">
        <v>154</v>
      </c>
      <c r="F773" s="0" t="s">
        <v>459</v>
      </c>
      <c r="G773" s="0" t="s">
        <v>321</v>
      </c>
      <c r="H773" s="0">
        <v>12</v>
      </c>
      <c r="I773" s="0">
        <v>47</v>
      </c>
      <c r="J773" s="0">
        <v>2792</v>
      </c>
    </row>
    <row r="774">
      <c r="A774" s="0" t="s">
        <v>28</v>
      </c>
      <c r="B774" s="0" t="s">
        <v>30</v>
      </c>
      <c r="C774" s="0" t="s">
        <v>196</v>
      </c>
      <c r="D774" s="0" t="s">
        <v>320</v>
      </c>
      <c r="E774" s="0" t="s">
        <v>154</v>
      </c>
      <c r="F774" s="0" t="s">
        <v>460</v>
      </c>
      <c r="G774" s="0" t="s">
        <v>268</v>
      </c>
      <c r="H774" s="0">
        <v>12</v>
      </c>
      <c r="I774" s="0">
        <v>47</v>
      </c>
      <c r="J774" s="0">
        <v>2792</v>
      </c>
    </row>
    <row r="775">
      <c r="A775" s="0" t="s">
        <v>28</v>
      </c>
      <c r="B775" s="0" t="s">
        <v>30</v>
      </c>
      <c r="C775" s="0" t="s">
        <v>196</v>
      </c>
      <c r="D775" s="0" t="s">
        <v>320</v>
      </c>
      <c r="E775" s="0" t="s">
        <v>154</v>
      </c>
      <c r="F775" s="0" t="s">
        <v>403</v>
      </c>
      <c r="G775" s="0" t="s">
        <v>461</v>
      </c>
      <c r="H775" s="0">
        <v>12</v>
      </c>
      <c r="I775" s="0">
        <v>47</v>
      </c>
      <c r="J775" s="0">
        <v>2792</v>
      </c>
    </row>
    <row r="776">
      <c r="A776" s="0" t="s">
        <v>28</v>
      </c>
      <c r="B776" s="0" t="s">
        <v>30</v>
      </c>
      <c r="C776" s="0" t="s">
        <v>196</v>
      </c>
      <c r="D776" s="0" t="s">
        <v>320</v>
      </c>
      <c r="E776" s="0" t="s">
        <v>154</v>
      </c>
      <c r="F776" s="0" t="s">
        <v>462</v>
      </c>
      <c r="G776" s="0" t="s">
        <v>463</v>
      </c>
      <c r="H776" s="0">
        <v>12</v>
      </c>
      <c r="I776" s="0">
        <v>47</v>
      </c>
      <c r="J776" s="0">
        <v>2792</v>
      </c>
    </row>
    <row r="777">
      <c r="A777" s="0" t="s">
        <v>28</v>
      </c>
      <c r="B777" s="0" t="s">
        <v>30</v>
      </c>
      <c r="C777" s="0" t="s">
        <v>196</v>
      </c>
      <c r="D777" s="0" t="s">
        <v>320</v>
      </c>
      <c r="E777" s="0" t="s">
        <v>154</v>
      </c>
      <c r="F777" s="0" t="s">
        <v>464</v>
      </c>
      <c r="G777" s="0" t="s">
        <v>269</v>
      </c>
      <c r="H777" s="0">
        <v>12</v>
      </c>
      <c r="I777" s="0">
        <v>47</v>
      </c>
      <c r="J777" s="0">
        <v>2792</v>
      </c>
    </row>
    <row r="778">
      <c r="A778" s="0" t="s">
        <v>28</v>
      </c>
      <c r="B778" s="0" t="s">
        <v>30</v>
      </c>
      <c r="C778" s="0" t="s">
        <v>196</v>
      </c>
      <c r="D778" s="0" t="s">
        <v>320</v>
      </c>
      <c r="E778" s="0" t="s">
        <v>154</v>
      </c>
      <c r="F778" s="0" t="s">
        <v>427</v>
      </c>
      <c r="G778" s="0" t="s">
        <v>441</v>
      </c>
      <c r="H778" s="0">
        <v>12</v>
      </c>
      <c r="I778" s="0">
        <v>47</v>
      </c>
      <c r="J778" s="0">
        <v>2792</v>
      </c>
    </row>
    <row r="779">
      <c r="A779" s="0" t="s">
        <v>28</v>
      </c>
      <c r="B779" s="0" t="s">
        <v>30</v>
      </c>
      <c r="C779" s="0" t="s">
        <v>196</v>
      </c>
      <c r="D779" s="0" t="s">
        <v>320</v>
      </c>
      <c r="E779" s="0" t="s">
        <v>154</v>
      </c>
      <c r="F779" s="0" t="s">
        <v>429</v>
      </c>
      <c r="G779" s="0" t="s">
        <v>430</v>
      </c>
      <c r="H779" s="0">
        <v>12</v>
      </c>
      <c r="I779" s="0">
        <v>47</v>
      </c>
      <c r="J779" s="0">
        <v>2792</v>
      </c>
    </row>
    <row r="780">
      <c r="A780" s="0" t="s">
        <v>28</v>
      </c>
      <c r="B780" s="0" t="s">
        <v>30</v>
      </c>
      <c r="C780" s="0" t="s">
        <v>196</v>
      </c>
      <c r="D780" s="0" t="s">
        <v>320</v>
      </c>
      <c r="E780" s="0" t="s">
        <v>154</v>
      </c>
      <c r="F780" s="0" t="s">
        <v>431</v>
      </c>
      <c r="G780" s="0" t="s">
        <v>432</v>
      </c>
      <c r="H780" s="0">
        <v>12</v>
      </c>
      <c r="I780" s="0">
        <v>47</v>
      </c>
      <c r="J780" s="0">
        <v>2792</v>
      </c>
    </row>
    <row r="781">
      <c r="A781" s="0" t="s">
        <v>28</v>
      </c>
      <c r="B781" s="0" t="s">
        <v>30</v>
      </c>
      <c r="C781" s="0" t="s">
        <v>196</v>
      </c>
      <c r="D781" s="0" t="s">
        <v>320</v>
      </c>
      <c r="E781" s="0" t="s">
        <v>154</v>
      </c>
      <c r="F781" s="0" t="s">
        <v>467</v>
      </c>
      <c r="G781" s="0" t="s">
        <v>270</v>
      </c>
      <c r="H781" s="0">
        <v>12</v>
      </c>
      <c r="I781" s="0">
        <v>47</v>
      </c>
      <c r="J781" s="0">
        <v>2792</v>
      </c>
    </row>
    <row r="782">
      <c r="A782" s="0" t="s">
        <v>28</v>
      </c>
      <c r="B782" s="0" t="s">
        <v>30</v>
      </c>
      <c r="C782" s="0" t="s">
        <v>196</v>
      </c>
      <c r="D782" s="0" t="s">
        <v>320</v>
      </c>
      <c r="E782" s="0" t="s">
        <v>154</v>
      </c>
      <c r="F782" s="0" t="s">
        <v>468</v>
      </c>
      <c r="G782" s="0" t="s">
        <v>271</v>
      </c>
      <c r="H782" s="0">
        <v>12</v>
      </c>
      <c r="I782" s="0">
        <v>47</v>
      </c>
      <c r="J782" s="0">
        <v>2792</v>
      </c>
    </row>
    <row r="783">
      <c r="A783" s="0" t="s">
        <v>28</v>
      </c>
      <c r="B783" s="0" t="s">
        <v>30</v>
      </c>
      <c r="C783" s="0" t="s">
        <v>196</v>
      </c>
      <c r="D783" s="0" t="s">
        <v>320</v>
      </c>
      <c r="E783" s="0" t="s">
        <v>154</v>
      </c>
      <c r="F783" s="0" t="s">
        <v>469</v>
      </c>
      <c r="G783" s="0" t="s">
        <v>470</v>
      </c>
      <c r="H783" s="0">
        <v>12</v>
      </c>
      <c r="I783" s="0">
        <v>47</v>
      </c>
      <c r="J783" s="0">
        <v>2792</v>
      </c>
    </row>
    <row r="784">
      <c r="A784" s="0" t="s">
        <v>28</v>
      </c>
      <c r="B784" s="0" t="s">
        <v>30</v>
      </c>
      <c r="C784" s="0" t="s">
        <v>196</v>
      </c>
      <c r="D784" s="0" t="s">
        <v>320</v>
      </c>
      <c r="E784" s="0" t="s">
        <v>154</v>
      </c>
      <c r="F784" s="0" t="s">
        <v>471</v>
      </c>
      <c r="G784" s="0" t="s">
        <v>272</v>
      </c>
      <c r="H784" s="0">
        <v>12</v>
      </c>
      <c r="I784" s="0">
        <v>47</v>
      </c>
      <c r="J784" s="0">
        <v>2792</v>
      </c>
    </row>
    <row r="785">
      <c r="A785" s="0" t="s">
        <v>28</v>
      </c>
      <c r="B785" s="0" t="s">
        <v>30</v>
      </c>
      <c r="C785" s="0" t="s">
        <v>196</v>
      </c>
      <c r="D785" s="0" t="s">
        <v>320</v>
      </c>
      <c r="E785" s="0" t="s">
        <v>154</v>
      </c>
      <c r="F785" s="0" t="s">
        <v>472</v>
      </c>
      <c r="G785" s="0" t="s">
        <v>473</v>
      </c>
      <c r="H785" s="0">
        <v>12</v>
      </c>
      <c r="I785" s="0">
        <v>47</v>
      </c>
      <c r="J785" s="0">
        <v>2792</v>
      </c>
    </row>
    <row r="786">
      <c r="A786" s="0" t="s">
        <v>28</v>
      </c>
      <c r="B786" s="0" t="s">
        <v>30</v>
      </c>
      <c r="C786" s="0" t="s">
        <v>196</v>
      </c>
      <c r="D786" s="0" t="s">
        <v>320</v>
      </c>
      <c r="E786" s="0" t="s">
        <v>154</v>
      </c>
      <c r="F786" s="0" t="s">
        <v>433</v>
      </c>
      <c r="G786" s="0" t="s">
        <v>434</v>
      </c>
      <c r="H786" s="0">
        <v>12</v>
      </c>
      <c r="I786" s="0">
        <v>47</v>
      </c>
      <c r="J786" s="0">
        <v>2792</v>
      </c>
    </row>
    <row r="787">
      <c r="A787" s="0" t="s">
        <v>28</v>
      </c>
      <c r="B787" s="0" t="s">
        <v>30</v>
      </c>
      <c r="C787" s="0" t="s">
        <v>196</v>
      </c>
      <c r="D787" s="0" t="s">
        <v>320</v>
      </c>
      <c r="E787" s="0" t="s">
        <v>154</v>
      </c>
      <c r="F787" s="0" t="s">
        <v>474</v>
      </c>
      <c r="G787" s="0" t="s">
        <v>272</v>
      </c>
      <c r="H787" s="0">
        <v>12</v>
      </c>
      <c r="I787" s="0">
        <v>47</v>
      </c>
      <c r="J787" s="0">
        <v>2792</v>
      </c>
    </row>
    <row r="788">
      <c r="A788" s="0" t="s">
        <v>28</v>
      </c>
      <c r="B788" s="0" t="s">
        <v>30</v>
      </c>
      <c r="C788" s="0" t="s">
        <v>196</v>
      </c>
      <c r="D788" s="0" t="s">
        <v>320</v>
      </c>
      <c r="E788" s="0" t="s">
        <v>154</v>
      </c>
      <c r="F788" s="0" t="s">
        <v>475</v>
      </c>
      <c r="G788" s="0" t="s">
        <v>476</v>
      </c>
      <c r="H788" s="0">
        <v>12</v>
      </c>
      <c r="I788" s="0">
        <v>47</v>
      </c>
      <c r="J788" s="0">
        <v>2792</v>
      </c>
    </row>
    <row r="789">
      <c r="A789" s="0" t="s">
        <v>28</v>
      </c>
      <c r="B789" s="0" t="s">
        <v>30</v>
      </c>
      <c r="C789" s="0" t="s">
        <v>196</v>
      </c>
      <c r="D789" s="0" t="s">
        <v>320</v>
      </c>
      <c r="E789" s="0" t="s">
        <v>154</v>
      </c>
      <c r="F789" s="0" t="s">
        <v>477</v>
      </c>
      <c r="G789" s="0" t="s">
        <v>478</v>
      </c>
      <c r="H789" s="0">
        <v>12</v>
      </c>
      <c r="I789" s="0">
        <v>47</v>
      </c>
      <c r="J789" s="0">
        <v>2792</v>
      </c>
    </row>
    <row r="790">
      <c r="A790" s="0" t="s">
        <v>28</v>
      </c>
      <c r="B790" s="0" t="s">
        <v>30</v>
      </c>
      <c r="C790" s="0" t="s">
        <v>196</v>
      </c>
      <c r="D790" s="0" t="s">
        <v>320</v>
      </c>
      <c r="E790" s="0" t="s">
        <v>154</v>
      </c>
      <c r="F790" s="0" t="s">
        <v>479</v>
      </c>
      <c r="G790" s="0" t="s">
        <v>273</v>
      </c>
      <c r="H790" s="0">
        <v>12</v>
      </c>
      <c r="I790" s="0">
        <v>47</v>
      </c>
      <c r="J790" s="0">
        <v>2792</v>
      </c>
    </row>
    <row r="791">
      <c r="A791" s="0" t="s">
        <v>28</v>
      </c>
      <c r="B791" s="0" t="s">
        <v>30</v>
      </c>
      <c r="C791" s="0" t="s">
        <v>196</v>
      </c>
      <c r="D791" s="0" t="s">
        <v>320</v>
      </c>
      <c r="E791" s="0" t="s">
        <v>154</v>
      </c>
      <c r="F791" s="0" t="s">
        <v>480</v>
      </c>
      <c r="G791" s="0" t="s">
        <v>274</v>
      </c>
      <c r="H791" s="0">
        <v>12</v>
      </c>
      <c r="I791" s="0">
        <v>47</v>
      </c>
      <c r="J791" s="0">
        <v>2792</v>
      </c>
    </row>
    <row r="792">
      <c r="A792" s="0" t="s">
        <v>28</v>
      </c>
      <c r="B792" s="0" t="s">
        <v>30</v>
      </c>
      <c r="C792" s="0" t="s">
        <v>196</v>
      </c>
      <c r="D792" s="0" t="s">
        <v>320</v>
      </c>
      <c r="E792" s="0" t="s">
        <v>154</v>
      </c>
      <c r="F792" s="0" t="s">
        <v>481</v>
      </c>
      <c r="G792" s="0" t="s">
        <v>275</v>
      </c>
      <c r="H792" s="0">
        <v>12</v>
      </c>
      <c r="I792" s="0">
        <v>47</v>
      </c>
      <c r="J792" s="0">
        <v>2792</v>
      </c>
    </row>
    <row r="793">
      <c r="A793" s="0" t="s">
        <v>28</v>
      </c>
      <c r="B793" s="0" t="s">
        <v>30</v>
      </c>
      <c r="C793" s="0" t="s">
        <v>196</v>
      </c>
      <c r="D793" s="0" t="s">
        <v>320</v>
      </c>
      <c r="E793" s="0" t="s">
        <v>154</v>
      </c>
      <c r="F793" s="0" t="s">
        <v>482</v>
      </c>
      <c r="G793" s="0" t="s">
        <v>483</v>
      </c>
      <c r="H793" s="0">
        <v>12</v>
      </c>
      <c r="I793" s="0">
        <v>47</v>
      </c>
      <c r="J793" s="0">
        <v>2792</v>
      </c>
    </row>
    <row r="794">
      <c r="A794" s="0" t="s">
        <v>28</v>
      </c>
      <c r="B794" s="0" t="s">
        <v>30</v>
      </c>
      <c r="C794" s="0" t="s">
        <v>196</v>
      </c>
      <c r="D794" s="0" t="s">
        <v>320</v>
      </c>
      <c r="E794" s="0" t="s">
        <v>154</v>
      </c>
      <c r="F794" s="0" t="s">
        <v>484</v>
      </c>
      <c r="G794" s="0" t="s">
        <v>272</v>
      </c>
      <c r="H794" s="0">
        <v>12</v>
      </c>
      <c r="I794" s="0">
        <v>47</v>
      </c>
      <c r="J794" s="0">
        <v>2792</v>
      </c>
    </row>
    <row r="795">
      <c r="A795" s="0" t="s">
        <v>28</v>
      </c>
      <c r="B795" s="0" t="s">
        <v>30</v>
      </c>
      <c r="C795" s="0" t="s">
        <v>196</v>
      </c>
      <c r="D795" s="0" t="s">
        <v>320</v>
      </c>
      <c r="E795" s="0" t="s">
        <v>154</v>
      </c>
      <c r="F795" s="0" t="s">
        <v>485</v>
      </c>
      <c r="G795" s="0" t="s">
        <v>473</v>
      </c>
      <c r="H795" s="0">
        <v>12</v>
      </c>
      <c r="I795" s="0">
        <v>47</v>
      </c>
      <c r="J795" s="0">
        <v>2792</v>
      </c>
    </row>
    <row r="796">
      <c r="A796" s="0" t="s">
        <v>28</v>
      </c>
      <c r="B796" s="0" t="s">
        <v>30</v>
      </c>
      <c r="C796" s="0" t="s">
        <v>196</v>
      </c>
      <c r="D796" s="0" t="s">
        <v>320</v>
      </c>
      <c r="E796" s="0" t="s">
        <v>154</v>
      </c>
      <c r="F796" s="0" t="s">
        <v>486</v>
      </c>
      <c r="G796" s="0" t="s">
        <v>272</v>
      </c>
      <c r="H796" s="0">
        <v>12</v>
      </c>
      <c r="I796" s="0">
        <v>47</v>
      </c>
      <c r="J796" s="0">
        <v>2792</v>
      </c>
    </row>
    <row r="797">
      <c r="A797" s="0" t="s">
        <v>28</v>
      </c>
      <c r="B797" s="0" t="s">
        <v>30</v>
      </c>
      <c r="C797" s="0" t="s">
        <v>196</v>
      </c>
      <c r="D797" s="0" t="s">
        <v>320</v>
      </c>
      <c r="E797" s="0" t="s">
        <v>154</v>
      </c>
      <c r="F797" s="0" t="s">
        <v>487</v>
      </c>
      <c r="G797" s="0" t="s">
        <v>276</v>
      </c>
      <c r="H797" s="0">
        <v>12</v>
      </c>
      <c r="I797" s="0">
        <v>47</v>
      </c>
      <c r="J797" s="0">
        <v>2792</v>
      </c>
    </row>
    <row r="798">
      <c r="A798" s="0" t="s">
        <v>28</v>
      </c>
      <c r="B798" s="0" t="s">
        <v>30</v>
      </c>
      <c r="C798" s="0" t="s">
        <v>196</v>
      </c>
      <c r="D798" s="0" t="s">
        <v>320</v>
      </c>
      <c r="E798" s="0" t="s">
        <v>154</v>
      </c>
      <c r="F798" s="0" t="s">
        <v>435</v>
      </c>
      <c r="G798" s="0" t="s">
        <v>344</v>
      </c>
      <c r="H798" s="0">
        <v>12</v>
      </c>
      <c r="I798" s="0">
        <v>47</v>
      </c>
      <c r="J798" s="0">
        <v>2792</v>
      </c>
    </row>
    <row r="799">
      <c r="A799" s="0" t="s">
        <v>28</v>
      </c>
      <c r="B799" s="0" t="s">
        <v>30</v>
      </c>
      <c r="C799" s="0" t="s">
        <v>196</v>
      </c>
      <c r="D799" s="0" t="s">
        <v>320</v>
      </c>
      <c r="E799" s="0" t="s">
        <v>154</v>
      </c>
      <c r="F799" s="0" t="s">
        <v>490</v>
      </c>
      <c r="G799" s="0" t="s">
        <v>491</v>
      </c>
      <c r="H799" s="0">
        <v>12</v>
      </c>
      <c r="I799" s="0">
        <v>47</v>
      </c>
      <c r="J799" s="0">
        <v>2792</v>
      </c>
    </row>
    <row r="800">
      <c r="A800" s="0" t="s">
        <v>28</v>
      </c>
      <c r="B800" s="0" t="s">
        <v>30</v>
      </c>
      <c r="C800" s="0" t="s">
        <v>196</v>
      </c>
      <c r="D800" s="0" t="s">
        <v>320</v>
      </c>
      <c r="E800" s="0" t="s">
        <v>154</v>
      </c>
      <c r="F800" s="0" t="s">
        <v>436</v>
      </c>
      <c r="G800" s="0" t="s">
        <v>437</v>
      </c>
      <c r="H800" s="0">
        <v>12</v>
      </c>
      <c r="I800" s="0">
        <v>47</v>
      </c>
      <c r="J800" s="0">
        <v>2792</v>
      </c>
    </row>
    <row r="801">
      <c r="A801" s="0" t="s">
        <v>28</v>
      </c>
      <c r="B801" s="0" t="s">
        <v>30</v>
      </c>
      <c r="C801" s="0" t="s">
        <v>196</v>
      </c>
      <c r="D801" s="0" t="s">
        <v>320</v>
      </c>
      <c r="E801" s="0" t="s">
        <v>154</v>
      </c>
      <c r="F801" s="0" t="s">
        <v>494</v>
      </c>
      <c r="G801" s="0" t="s">
        <v>277</v>
      </c>
      <c r="H801" s="0">
        <v>12</v>
      </c>
      <c r="I801" s="0">
        <v>47</v>
      </c>
      <c r="J801" s="0">
        <v>2792</v>
      </c>
    </row>
    <row r="802">
      <c r="A802" s="0" t="s">
        <v>28</v>
      </c>
      <c r="B802" s="0" t="s">
        <v>30</v>
      </c>
      <c r="C802" s="0" t="s">
        <v>196</v>
      </c>
      <c r="D802" s="0" t="s">
        <v>320</v>
      </c>
      <c r="E802" s="0" t="s">
        <v>154</v>
      </c>
      <c r="F802" s="0" t="s">
        <v>495</v>
      </c>
      <c r="G802" s="0" t="s">
        <v>257</v>
      </c>
      <c r="H802" s="0">
        <v>12</v>
      </c>
      <c r="I802" s="0">
        <v>47</v>
      </c>
      <c r="J802" s="0">
        <v>2792</v>
      </c>
    </row>
    <row r="803">
      <c r="A803" s="0" t="s">
        <v>28</v>
      </c>
      <c r="B803" s="0" t="s">
        <v>30</v>
      </c>
      <c r="C803" s="0" t="s">
        <v>196</v>
      </c>
      <c r="D803" s="0" t="s">
        <v>320</v>
      </c>
      <c r="E803" s="0" t="s">
        <v>154</v>
      </c>
      <c r="F803" s="0" t="s">
        <v>496</v>
      </c>
      <c r="G803" s="0" t="s">
        <v>286</v>
      </c>
      <c r="H803" s="0">
        <v>12</v>
      </c>
      <c r="I803" s="0">
        <v>47</v>
      </c>
      <c r="J803" s="0">
        <v>2792</v>
      </c>
    </row>
    <row r="804">
      <c r="A804" s="0" t="s">
        <v>28</v>
      </c>
      <c r="B804" s="0" t="s">
        <v>30</v>
      </c>
      <c r="C804" s="0" t="s">
        <v>196</v>
      </c>
      <c r="D804" s="0" t="s">
        <v>320</v>
      </c>
      <c r="E804" s="0" t="s">
        <v>154</v>
      </c>
      <c r="F804" s="0" t="s">
        <v>497</v>
      </c>
      <c r="G804" s="0" t="s">
        <v>498</v>
      </c>
      <c r="H804" s="0">
        <v>12</v>
      </c>
      <c r="I804" s="0">
        <v>47</v>
      </c>
      <c r="J804" s="0">
        <v>2792</v>
      </c>
    </row>
    <row r="805">
      <c r="A805" s="0" t="s">
        <v>28</v>
      </c>
      <c r="B805" s="0" t="s">
        <v>30</v>
      </c>
      <c r="C805" s="0" t="s">
        <v>196</v>
      </c>
      <c r="D805" s="0" t="s">
        <v>320</v>
      </c>
      <c r="E805" s="0" t="s">
        <v>154</v>
      </c>
      <c r="F805" s="0" t="s">
        <v>499</v>
      </c>
      <c r="G805" s="0" t="s">
        <v>571</v>
      </c>
      <c r="H805" s="0">
        <v>12</v>
      </c>
      <c r="I805" s="0">
        <v>47</v>
      </c>
      <c r="J805" s="0">
        <v>2792</v>
      </c>
    </row>
    <row r="806">
      <c r="A806" s="0" t="s">
        <v>28</v>
      </c>
      <c r="B806" s="0" t="s">
        <v>30</v>
      </c>
      <c r="C806" s="0" t="s">
        <v>196</v>
      </c>
      <c r="D806" s="0" t="s">
        <v>320</v>
      </c>
      <c r="E806" s="0" t="s">
        <v>154</v>
      </c>
      <c r="F806" s="0" t="s">
        <v>501</v>
      </c>
      <c r="G806" s="0" t="s">
        <v>502</v>
      </c>
      <c r="H806" s="0">
        <v>12</v>
      </c>
      <c r="I806" s="0">
        <v>47</v>
      </c>
      <c r="J806" s="0">
        <v>2792</v>
      </c>
    </row>
    <row r="807">
      <c r="A807" s="0" t="s">
        <v>28</v>
      </c>
      <c r="B807" s="0" t="s">
        <v>30</v>
      </c>
      <c r="C807" s="0" t="s">
        <v>196</v>
      </c>
      <c r="D807" s="0" t="s">
        <v>320</v>
      </c>
      <c r="E807" s="0" t="s">
        <v>154</v>
      </c>
      <c r="F807" s="0" t="s">
        <v>503</v>
      </c>
      <c r="G807" s="0" t="s">
        <v>504</v>
      </c>
      <c r="H807" s="0">
        <v>12</v>
      </c>
      <c r="I807" s="0">
        <v>47</v>
      </c>
      <c r="J807" s="0">
        <v>2792</v>
      </c>
    </row>
    <row r="808">
      <c r="A808" s="0" t="s">
        <v>28</v>
      </c>
      <c r="B808" s="0" t="s">
        <v>30</v>
      </c>
      <c r="C808" s="0" t="s">
        <v>196</v>
      </c>
      <c r="D808" s="0" t="s">
        <v>320</v>
      </c>
      <c r="E808" s="0" t="s">
        <v>154</v>
      </c>
      <c r="F808" s="0" t="s">
        <v>505</v>
      </c>
      <c r="G808" s="0" t="s">
        <v>506</v>
      </c>
      <c r="H808" s="0">
        <v>12</v>
      </c>
      <c r="I808" s="0">
        <v>47</v>
      </c>
      <c r="J808" s="0">
        <v>2792</v>
      </c>
    </row>
    <row r="809">
      <c r="A809" s="0" t="s">
        <v>28</v>
      </c>
      <c r="B809" s="0" t="s">
        <v>30</v>
      </c>
      <c r="C809" s="0" t="s">
        <v>196</v>
      </c>
      <c r="D809" s="0" t="s">
        <v>320</v>
      </c>
      <c r="E809" s="0" t="s">
        <v>154</v>
      </c>
      <c r="F809" s="0" t="s">
        <v>507</v>
      </c>
      <c r="G809" s="0" t="s">
        <v>508</v>
      </c>
      <c r="H809" s="0">
        <v>12</v>
      </c>
      <c r="I809" s="0">
        <v>47</v>
      </c>
      <c r="J809" s="0">
        <v>2792</v>
      </c>
    </row>
    <row r="810">
      <c r="A810" s="0" t="s">
        <v>28</v>
      </c>
      <c r="B810" s="0" t="s">
        <v>30</v>
      </c>
      <c r="C810" s="0" t="s">
        <v>196</v>
      </c>
      <c r="D810" s="0" t="s">
        <v>320</v>
      </c>
      <c r="E810" s="0" t="s">
        <v>154</v>
      </c>
      <c r="F810" s="0" t="s">
        <v>509</v>
      </c>
      <c r="G810" s="0" t="s">
        <v>114</v>
      </c>
      <c r="H810" s="0">
        <v>12</v>
      </c>
      <c r="I810" s="0">
        <v>47</v>
      </c>
      <c r="J810" s="0">
        <v>2792</v>
      </c>
    </row>
    <row r="811">
      <c r="A811" s="0" t="s">
        <v>28</v>
      </c>
      <c r="B811" s="0" t="s">
        <v>30</v>
      </c>
      <c r="C811" s="0" t="s">
        <v>196</v>
      </c>
      <c r="D811" s="0" t="s">
        <v>320</v>
      </c>
      <c r="E811" s="0" t="s">
        <v>154</v>
      </c>
      <c r="F811" s="0" t="s">
        <v>510</v>
      </c>
      <c r="G811" s="0" t="s">
        <v>511</v>
      </c>
      <c r="H811" s="0">
        <v>12</v>
      </c>
      <c r="I811" s="0">
        <v>47</v>
      </c>
      <c r="J811" s="0">
        <v>2792</v>
      </c>
    </row>
    <row r="812">
      <c r="A812" s="0" t="s">
        <v>28</v>
      </c>
      <c r="B812" s="0" t="s">
        <v>30</v>
      </c>
      <c r="C812" s="0" t="s">
        <v>196</v>
      </c>
      <c r="D812" s="0" t="s">
        <v>320</v>
      </c>
      <c r="E812" s="0" t="s">
        <v>154</v>
      </c>
      <c r="F812" s="0" t="s">
        <v>512</v>
      </c>
      <c r="G812" s="0" t="s">
        <v>568</v>
      </c>
      <c r="H812" s="0">
        <v>12</v>
      </c>
      <c r="I812" s="0">
        <v>47</v>
      </c>
      <c r="J812" s="0">
        <v>2792</v>
      </c>
    </row>
    <row r="813">
      <c r="A813" s="0" t="s">
        <v>28</v>
      </c>
      <c r="B813" s="0" t="s">
        <v>30</v>
      </c>
      <c r="C813" s="0" t="s">
        <v>196</v>
      </c>
      <c r="D813" s="0" t="s">
        <v>320</v>
      </c>
      <c r="E813" s="0" t="s">
        <v>154</v>
      </c>
      <c r="F813" s="0" t="s">
        <v>514</v>
      </c>
      <c r="G813" s="0" t="s">
        <v>515</v>
      </c>
      <c r="H813" s="0">
        <v>12</v>
      </c>
      <c r="I813" s="0">
        <v>47</v>
      </c>
      <c r="J813" s="0">
        <v>2792</v>
      </c>
    </row>
    <row r="814">
      <c r="A814" s="0" t="s">
        <v>28</v>
      </c>
      <c r="B814" s="0" t="s">
        <v>30</v>
      </c>
      <c r="C814" s="0" t="s">
        <v>196</v>
      </c>
      <c r="D814" s="0" t="s">
        <v>320</v>
      </c>
      <c r="E814" s="0" t="s">
        <v>154</v>
      </c>
      <c r="F814" s="0" t="s">
        <v>516</v>
      </c>
      <c r="G814" s="0" t="s">
        <v>450</v>
      </c>
      <c r="H814" s="0">
        <v>12</v>
      </c>
      <c r="I814" s="0">
        <v>47</v>
      </c>
      <c r="J814" s="0">
        <v>2792</v>
      </c>
    </row>
    <row r="815">
      <c r="A815" s="0" t="s">
        <v>28</v>
      </c>
      <c r="B815" s="0" t="s">
        <v>30</v>
      </c>
      <c r="C815" s="0" t="s">
        <v>196</v>
      </c>
      <c r="D815" s="0" t="s">
        <v>320</v>
      </c>
      <c r="E815" s="0" t="s">
        <v>154</v>
      </c>
      <c r="F815" s="0" t="s">
        <v>517</v>
      </c>
      <c r="G815" s="0" t="s">
        <v>518</v>
      </c>
      <c r="H815" s="0">
        <v>12</v>
      </c>
      <c r="I815" s="0">
        <v>47</v>
      </c>
      <c r="J815" s="0">
        <v>2792</v>
      </c>
    </row>
    <row r="816">
      <c r="A816" s="0" t="s">
        <v>28</v>
      </c>
      <c r="B816" s="0" t="s">
        <v>30</v>
      </c>
      <c r="C816" s="0" t="s">
        <v>196</v>
      </c>
      <c r="D816" s="0" t="s">
        <v>320</v>
      </c>
      <c r="E816" s="0" t="s">
        <v>154</v>
      </c>
      <c r="F816" s="0" t="s">
        <v>519</v>
      </c>
      <c r="G816" s="0" t="s">
        <v>520</v>
      </c>
      <c r="H816" s="0">
        <v>12</v>
      </c>
      <c r="I816" s="0">
        <v>47</v>
      </c>
      <c r="J816" s="0">
        <v>2792</v>
      </c>
    </row>
    <row r="817">
      <c r="A817" s="0" t="s">
        <v>28</v>
      </c>
      <c r="B817" s="0" t="s">
        <v>30</v>
      </c>
      <c r="C817" s="0" t="s">
        <v>196</v>
      </c>
      <c r="D817" s="0" t="s">
        <v>320</v>
      </c>
      <c r="E817" s="0" t="s">
        <v>154</v>
      </c>
      <c r="F817" s="0" t="s">
        <v>521</v>
      </c>
      <c r="G817" s="0" t="s">
        <v>341</v>
      </c>
      <c r="H817" s="0">
        <v>12</v>
      </c>
      <c r="I817" s="0">
        <v>47</v>
      </c>
      <c r="J817" s="0">
        <v>2792</v>
      </c>
    </row>
    <row r="818">
      <c r="A818" s="0" t="s">
        <v>28</v>
      </c>
      <c r="B818" s="0" t="s">
        <v>30</v>
      </c>
      <c r="C818" s="0" t="s">
        <v>196</v>
      </c>
      <c r="D818" s="0" t="s">
        <v>320</v>
      </c>
      <c r="E818" s="0" t="s">
        <v>154</v>
      </c>
      <c r="F818" s="0" t="s">
        <v>522</v>
      </c>
      <c r="G818" s="0" t="s">
        <v>523</v>
      </c>
      <c r="H818" s="0">
        <v>12</v>
      </c>
      <c r="I818" s="0">
        <v>47</v>
      </c>
      <c r="J818" s="0">
        <v>2792</v>
      </c>
    </row>
    <row r="819">
      <c r="A819" s="0" t="s">
        <v>28</v>
      </c>
      <c r="B819" s="0" t="s">
        <v>30</v>
      </c>
      <c r="C819" s="0" t="s">
        <v>196</v>
      </c>
      <c r="D819" s="0" t="s">
        <v>320</v>
      </c>
      <c r="E819" s="0" t="s">
        <v>154</v>
      </c>
      <c r="F819" s="0" t="s">
        <v>524</v>
      </c>
      <c r="G819" s="0" t="s">
        <v>454</v>
      </c>
      <c r="H819" s="0">
        <v>12</v>
      </c>
      <c r="I819" s="0">
        <v>47</v>
      </c>
      <c r="J819" s="0">
        <v>2792</v>
      </c>
    </row>
    <row r="820">
      <c r="A820" s="0" t="s">
        <v>28</v>
      </c>
      <c r="B820" s="0" t="s">
        <v>30</v>
      </c>
      <c r="C820" s="0" t="s">
        <v>196</v>
      </c>
      <c r="D820" s="0" t="s">
        <v>320</v>
      </c>
      <c r="E820" s="0" t="s">
        <v>154</v>
      </c>
      <c r="F820" s="0" t="s">
        <v>526</v>
      </c>
      <c r="G820" s="0" t="s">
        <v>569</v>
      </c>
      <c r="H820" s="0">
        <v>12</v>
      </c>
      <c r="I820" s="0">
        <v>47</v>
      </c>
      <c r="J820" s="0">
        <v>2792</v>
      </c>
    </row>
    <row r="821">
      <c r="A821" s="0" t="s">
        <v>28</v>
      </c>
      <c r="B821" s="0" t="s">
        <v>30</v>
      </c>
      <c r="C821" s="0" t="s">
        <v>196</v>
      </c>
      <c r="D821" s="0" t="s">
        <v>320</v>
      </c>
      <c r="E821" s="0" t="s">
        <v>154</v>
      </c>
      <c r="F821" s="0" t="s">
        <v>528</v>
      </c>
      <c r="G821" s="0" t="s">
        <v>529</v>
      </c>
      <c r="H821" s="0">
        <v>12</v>
      </c>
      <c r="I821" s="0">
        <v>47</v>
      </c>
      <c r="J821" s="0">
        <v>2792</v>
      </c>
    </row>
    <row r="822">
      <c r="A822" s="0" t="s">
        <v>28</v>
      </c>
      <c r="B822" s="0" t="s">
        <v>30</v>
      </c>
      <c r="C822" s="0" t="s">
        <v>196</v>
      </c>
      <c r="D822" s="0" t="s">
        <v>320</v>
      </c>
      <c r="E822" s="0" t="s">
        <v>154</v>
      </c>
      <c r="F822" s="0" t="s">
        <v>530</v>
      </c>
      <c r="G822" s="0" t="s">
        <v>315</v>
      </c>
      <c r="H822" s="0">
        <v>12</v>
      </c>
      <c r="I822" s="0">
        <v>47</v>
      </c>
      <c r="J822" s="0">
        <v>2792</v>
      </c>
    </row>
    <row r="823">
      <c r="A823" s="0" t="s">
        <v>28</v>
      </c>
      <c r="B823" s="0" t="s">
        <v>30</v>
      </c>
      <c r="C823" s="0" t="s">
        <v>196</v>
      </c>
      <c r="D823" s="0" t="s">
        <v>320</v>
      </c>
      <c r="E823" s="0" t="s">
        <v>154</v>
      </c>
      <c r="F823" s="0" t="s">
        <v>531</v>
      </c>
      <c r="G823" s="0" t="s">
        <v>532</v>
      </c>
      <c r="H823" s="0">
        <v>12</v>
      </c>
      <c r="I823" s="0">
        <v>47</v>
      </c>
      <c r="J823" s="0">
        <v>2792</v>
      </c>
    </row>
  </sheetData>
  <headerFooter/>
  <tableParts>
    <tablePart r:id="rId1"/>
  </tableParts>
</worksheet>
</file>

<file path=xl/worksheets/sheet18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VM Properties'!A1", "&lt;Go&gt;")</f>
      </c>
    </row>
  </sheetData>
  <headerFooter/>
</worksheet>
</file>

<file path=xl/worksheets/sheet1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VM Properties'!A1", "&lt;Go&gt;")</f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41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10</v>
      </c>
      <c r="C5" s="1">
        <f>=HYPERLINK("#'4.Applications.All'!A1", "&lt;Go&gt;")</f>
      </c>
    </row>
    <row r="6">
      <c r="A6" s="0" t="s">
        <v>39</v>
      </c>
      <c r="B6" s="0">
        <v>1</v>
      </c>
      <c r="C6" s="1">
        <f>=HYPERLINK("#'5.Applications.APM'!A1", "&lt;Go&gt;")</f>
      </c>
    </row>
    <row r="7">
      <c r="A7" s="0" t="s">
        <v>40</v>
      </c>
      <c r="B7" s="0">
        <v>21</v>
      </c>
      <c r="C7" s="1">
        <f>=HYPERLINK("#'6.Tiers'!A1", "&lt;Go&gt;")</f>
      </c>
    </row>
    <row r="8">
      <c r="A8" s="0" t="s">
        <v>41</v>
      </c>
      <c r="B8" s="0" t="s">
        <v>42</v>
      </c>
      <c r="C8" s="1">
        <f>=HYPERLINK("#'6.Tiers.Type'!A1", "&lt;Go&gt;")</f>
      </c>
    </row>
    <row r="9">
      <c r="A9" s="0" t="s">
        <v>43</v>
      </c>
      <c r="B9" s="0">
        <v>13</v>
      </c>
      <c r="C9" s="1">
        <f>=HYPERLINK("#'7.Nodes'!A1", "&lt;Go&gt;")</f>
      </c>
    </row>
    <row r="10">
      <c r="A10" s="0" t="s">
        <v>44</v>
      </c>
      <c r="B10" s="0" t="s">
        <v>45</v>
      </c>
      <c r="C10" s="1">
        <f>=HYPERLINK("#'7.Nodes.Type.AppAgent'!A1", "&lt;Go&gt;")</f>
      </c>
    </row>
    <row r="11">
      <c r="A11" s="0" t="s">
        <v>46</v>
      </c>
      <c r="B11" s="0" t="s">
        <v>45</v>
      </c>
      <c r="C11" s="1">
        <f>=HYPERLINK("#'7.Nodes.Type.MachineAgent'!A1", "&lt;Go&gt;")</f>
      </c>
    </row>
    <row r="12">
      <c r="A12" s="0" t="s">
        <v>47</v>
      </c>
      <c r="B12" s="0" t="s">
        <v>48</v>
      </c>
      <c r="C12" s="1">
        <f>=HYPERLINK("#'7.Nodes.Host.Type'!A1", "&lt;Go&gt;")</f>
      </c>
    </row>
    <row r="13">
      <c r="A13" s="0" t="s">
        <v>49</v>
      </c>
      <c r="B13" s="0" t="s">
        <v>50</v>
      </c>
      <c r="C13" s="1">
        <f>=HYPERLINK("#'7.Nodes.Heap.Size'!A1", "&lt;Go&gt;")</f>
      </c>
    </row>
    <row r="14">
      <c r="A14" s="0" t="s">
        <v>51</v>
      </c>
      <c r="B14" s="0" t="s">
        <v>52</v>
      </c>
      <c r="C14" s="1">
        <f>=HYPERLINK("#'7.Nodes.Runtime.Version'!A1", "&lt;Go&gt;")</f>
      </c>
    </row>
    <row r="15">
      <c r="A15" s="0" t="s">
        <v>53</v>
      </c>
      <c r="B15" s="0">
        <v>220</v>
      </c>
      <c r="C15" s="1">
        <f>=HYPERLINK("#'8.Node Startup Options'!A1", "&lt;Go&gt;")</f>
      </c>
    </row>
    <row r="16">
      <c r="A16" s="0" t="s">
        <v>54</v>
      </c>
      <c r="B16" s="0" t="s">
        <v>55</v>
      </c>
      <c r="C16" s="1">
        <f>=HYPERLINK("#'8.Node Startup Options.Type'!A1", "&lt;Go&gt;")</f>
      </c>
    </row>
    <row r="17">
      <c r="A17" s="0" t="s">
        <v>56</v>
      </c>
      <c r="B17" s="0" t="s">
        <v>55</v>
      </c>
      <c r="C17" s="1">
        <f>=HYPERLINK("#'8.Node Startup Options.Location'!A1", "&lt;Go&gt;")</f>
      </c>
    </row>
    <row r="18">
      <c r="A18" s="0" t="s">
        <v>57</v>
      </c>
      <c r="B18" s="0">
        <v>819</v>
      </c>
      <c r="C18" s="1">
        <f>=HYPERLINK("#'8.Node VM Properties'!A1", "&lt;Go&gt;")</f>
      </c>
    </row>
    <row r="19">
      <c r="A19" s="0" t="s">
        <v>58</v>
      </c>
      <c r="B19" s="0" t="s">
        <v>55</v>
      </c>
      <c r="C19" s="1">
        <f>=HYPERLINK("#'8.Node VM Properties.Type'!A1", "&lt;Go&gt;")</f>
      </c>
    </row>
    <row r="20">
      <c r="A20" s="0" t="s">
        <v>59</v>
      </c>
      <c r="B20" s="0" t="s">
        <v>55</v>
      </c>
      <c r="C20" s="1">
        <f>=HYPERLINK("#'8.Node VM Properties.Location'!A1", "&lt;Go&gt;")</f>
      </c>
    </row>
    <row r="21">
      <c r="A21" s="0" t="s">
        <v>60</v>
      </c>
      <c r="B21" s="0">
        <v>767</v>
      </c>
      <c r="C21" s="1">
        <f>=HYPERLINK("#'8.Node Env Variables'!A1", "&lt;Go&gt;")</f>
      </c>
    </row>
    <row r="22">
      <c r="A22" s="0" t="s">
        <v>61</v>
      </c>
      <c r="B22" s="0" t="s">
        <v>55</v>
      </c>
      <c r="C22" s="1">
        <f>=HYPERLINK("#'8.Node Env Variables.Type'!A1", "&lt;Go&gt;")</f>
      </c>
    </row>
    <row r="23">
      <c r="A23" s="0" t="s">
        <v>62</v>
      </c>
      <c r="B23" s="0" t="s">
        <v>55</v>
      </c>
      <c r="C23" s="1">
        <f>=HYPERLINK("#'8.Node Env Variables.Location'!A1", "&lt;Go&gt;")</f>
      </c>
    </row>
    <row r="24">
      <c r="A24" s="0" t="s">
        <v>63</v>
      </c>
      <c r="B24" s="0">
        <v>6</v>
      </c>
      <c r="C24" s="1">
        <f>=HYPERLINK("#'9.Backends'!A1", "&lt;Go&gt;")</f>
      </c>
    </row>
    <row r="25">
      <c r="A25" s="0" t="s">
        <v>64</v>
      </c>
      <c r="B25" s="0" t="s">
        <v>65</v>
      </c>
      <c r="C25" s="1">
        <f>=HYPERLINK("#'9.Backends.Type'!A1", "&lt;Go&gt;")</f>
      </c>
    </row>
    <row r="26">
      <c r="A26" s="0" t="s">
        <v>66</v>
      </c>
      <c r="B26" s="0" t="s">
        <v>67</v>
      </c>
      <c r="C26" s="1">
        <f>=HYPERLINK("#'9.Backends.Location'!A1", "&lt;Go&gt;")</f>
      </c>
    </row>
    <row r="27">
      <c r="A27" s="0" t="s">
        <v>68</v>
      </c>
      <c r="B27" s="0">
        <v>220</v>
      </c>
      <c r="C27" s="1">
        <f>=HYPERLINK("#'10.Business Transactions'!A1", "&lt;Go&gt;")</f>
      </c>
    </row>
    <row r="28">
      <c r="A28" s="0" t="s">
        <v>69</v>
      </c>
      <c r="B28" s="0" t="s">
        <v>70</v>
      </c>
      <c r="C28" s="1">
        <f>=HYPERLINK("#'10.BTs.Type'!A1", "&lt;Go&gt;")</f>
      </c>
    </row>
    <row r="29">
      <c r="A29" s="0" t="s">
        <v>71</v>
      </c>
      <c r="B29" s="0" t="s">
        <v>72</v>
      </c>
      <c r="C29" s="1">
        <f>=HYPERLINK("#'10.BTs.Location'!A1", "&lt;Go&gt;")</f>
      </c>
    </row>
    <row r="30">
      <c r="A30" s="0" t="s">
        <v>73</v>
      </c>
      <c r="B30" s="0">
        <v>218</v>
      </c>
      <c r="C30" s="1">
        <f>=HYPERLINK("#'11.SEPs'!A1", "&lt;Go&gt;")</f>
      </c>
    </row>
    <row r="31">
      <c r="A31" s="0" t="s">
        <v>74</v>
      </c>
      <c r="B31" s="0" t="s">
        <v>75</v>
      </c>
      <c r="C31" s="1">
        <f>=HYPERLINK("#'11.SEPs.Type'!A1", "&lt;Go&gt;")</f>
      </c>
    </row>
    <row r="32">
      <c r="A32" s="0" t="s">
        <v>76</v>
      </c>
      <c r="B32" s="0" t="s">
        <v>77</v>
      </c>
      <c r="C32" s="1">
        <f>=HYPERLINK("#'11.SEPs.Location'!A1", "&lt;Go&gt;")</f>
      </c>
    </row>
    <row r="33">
      <c r="A33" s="0" t="s">
        <v>78</v>
      </c>
      <c r="B33" s="0">
        <v>248</v>
      </c>
      <c r="C33" s="1">
        <f>=HYPERLINK("#'12.Errors'!A1", "&lt;Go&gt;")</f>
      </c>
    </row>
    <row r="34">
      <c r="A34" s="0" t="s">
        <v>79</v>
      </c>
      <c r="B34" s="0" t="s">
        <v>80</v>
      </c>
      <c r="C34" s="1">
        <f>=HYPERLINK("#'12.Errors.Type'!A1", "&lt;Go&gt;")</f>
      </c>
    </row>
    <row r="35">
      <c r="A35" s="0" t="s">
        <v>81</v>
      </c>
      <c r="B35" s="0" t="s">
        <v>82</v>
      </c>
      <c r="C35" s="1">
        <f>=HYPERLINK("#'12.Errors.Location'!A1", "&lt;Go&gt;")</f>
      </c>
    </row>
    <row r="36">
      <c r="A36" s="0" t="s">
        <v>83</v>
      </c>
      <c r="C36" s="1">
        <f>=HYPERLINK("#'13.Information Points'!A1", "&lt;Go&gt;")</f>
      </c>
    </row>
    <row r="37">
      <c r="A37" s="0" t="s">
        <v>84</v>
      </c>
      <c r="C37" s="1">
        <f>=HYPERLINK("#'13.Information Points.Type'!A1", "&lt;Go&gt;")</f>
      </c>
    </row>
    <row r="38">
      <c r="A38" s="0" t="s">
        <v>85</v>
      </c>
      <c r="C38" s="1">
        <f>=HYPERLINK("#'14.Mapped Backends'!A1", "&lt;Go&gt;")</f>
      </c>
    </row>
    <row r="39">
      <c r="A39" s="0" t="s">
        <v>86</v>
      </c>
      <c r="C39" s="1">
        <f>=HYPERLINK("#'14.Mapped Backends.Type'!A1", "&lt;Go&gt;")</f>
      </c>
    </row>
    <row r="40">
      <c r="A40" s="0" t="s">
        <v>87</v>
      </c>
      <c r="C40" s="1">
        <f>=HYPERLINK("#'15.Overflow BTs'!A1", "&lt;Go&gt;")</f>
      </c>
    </row>
    <row r="41">
      <c r="A41" s="0" t="s">
        <v>88</v>
      </c>
      <c r="C41" s="1">
        <f>=HYPERLINK("#'15.Overflow.BTs.Type'!A1", "&lt;Go&gt;")</f>
      </c>
    </row>
  </sheetData>
  <headerFooter/>
  <tableParts>
    <tablePart r:id="rId1"/>
  </tableParts>
</worksheet>
</file>

<file path=xl/worksheets/sheet20.xml><?xml version="1.0" encoding="utf-8"?>
<worksheet xmlns:r="http://schemas.openxmlformats.org/officeDocument/2006/relationships" xmlns="http://schemas.openxmlformats.org/spreadsheetml/2006/main">
  <dimension ref="A1:J771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5" max="5" width="10" customWidth="1"/>
    <col min="6" max="6" width="25" customWidth="1"/>
    <col min="7" max="7" width="25" customWidth="1"/>
  </cols>
  <sheetData>
    <row r="1">
      <c r="A1" s="0" t="s">
        <v>0</v>
      </c>
      <c r="B1" s="1">
        <f>=HYPERLINK("#'2.Contents'!A1", "&lt;Go&gt;")</f>
      </c>
    </row>
    <row r="2">
      <c r="A2" s="0" t="s">
        <v>442</v>
      </c>
      <c r="B2" s="1">
        <f>=HYPERLINK("#'8.Node Env Variables.Type'!A1", "&lt;Go&gt;")</f>
      </c>
    </row>
    <row r="3">
      <c r="A3" s="0" t="s">
        <v>443</v>
      </c>
      <c r="B3" s="1">
        <f>=HYPERLINK("#'8.Node Env Variables.Location'!A1",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204</v>
      </c>
      <c r="E4" s="0" t="s">
        <v>149</v>
      </c>
      <c r="F4" s="0" t="s">
        <v>325</v>
      </c>
      <c r="G4" s="0" t="s">
        <v>326</v>
      </c>
      <c r="H4" s="0" t="s">
        <v>26</v>
      </c>
      <c r="I4" s="0" t="s">
        <v>150</v>
      </c>
      <c r="J4" s="0" t="s">
        <v>250</v>
      </c>
    </row>
    <row r="5">
      <c r="A5" s="0" t="s">
        <v>28</v>
      </c>
      <c r="B5" s="0" t="s">
        <v>30</v>
      </c>
      <c r="C5" s="0" t="s">
        <v>178</v>
      </c>
      <c r="D5" s="0" t="s">
        <v>260</v>
      </c>
      <c r="E5" s="0" t="s">
        <v>154</v>
      </c>
      <c r="F5" s="0" t="s">
        <v>572</v>
      </c>
      <c r="G5" s="0" t="s">
        <v>573</v>
      </c>
      <c r="H5" s="0">
        <v>12</v>
      </c>
      <c r="I5" s="0">
        <v>49</v>
      </c>
      <c r="J5" s="0">
        <v>2774</v>
      </c>
    </row>
    <row r="6">
      <c r="A6" s="0" t="s">
        <v>28</v>
      </c>
      <c r="B6" s="0" t="s">
        <v>30</v>
      </c>
      <c r="C6" s="0" t="s">
        <v>178</v>
      </c>
      <c r="D6" s="0" t="s">
        <v>260</v>
      </c>
      <c r="E6" s="0" t="s">
        <v>154</v>
      </c>
      <c r="F6" s="0" t="s">
        <v>574</v>
      </c>
      <c r="G6" s="0" t="s">
        <v>341</v>
      </c>
      <c r="H6" s="0">
        <v>12</v>
      </c>
      <c r="I6" s="0">
        <v>49</v>
      </c>
      <c r="J6" s="0">
        <v>2774</v>
      </c>
    </row>
    <row r="7">
      <c r="A7" s="0" t="s">
        <v>28</v>
      </c>
      <c r="B7" s="0" t="s">
        <v>30</v>
      </c>
      <c r="C7" s="0" t="s">
        <v>178</v>
      </c>
      <c r="D7" s="0" t="s">
        <v>260</v>
      </c>
      <c r="E7" s="0" t="s">
        <v>154</v>
      </c>
      <c r="F7" s="0" t="s">
        <v>575</v>
      </c>
      <c r="G7" s="0" t="s">
        <v>339</v>
      </c>
      <c r="H7" s="0">
        <v>12</v>
      </c>
      <c r="I7" s="0">
        <v>49</v>
      </c>
      <c r="J7" s="0">
        <v>2774</v>
      </c>
    </row>
    <row r="8">
      <c r="A8" s="0" t="s">
        <v>28</v>
      </c>
      <c r="B8" s="0" t="s">
        <v>30</v>
      </c>
      <c r="C8" s="0" t="s">
        <v>178</v>
      </c>
      <c r="D8" s="0" t="s">
        <v>260</v>
      </c>
      <c r="E8" s="0" t="s">
        <v>154</v>
      </c>
      <c r="F8" s="0" t="s">
        <v>576</v>
      </c>
      <c r="G8" s="0" t="s">
        <v>577</v>
      </c>
      <c r="H8" s="0">
        <v>12</v>
      </c>
      <c r="I8" s="0">
        <v>49</v>
      </c>
      <c r="J8" s="0">
        <v>2774</v>
      </c>
    </row>
    <row r="9">
      <c r="A9" s="0" t="s">
        <v>28</v>
      </c>
      <c r="B9" s="0" t="s">
        <v>30</v>
      </c>
      <c r="C9" s="0" t="s">
        <v>178</v>
      </c>
      <c r="D9" s="0" t="s">
        <v>260</v>
      </c>
      <c r="E9" s="0" t="s">
        <v>154</v>
      </c>
      <c r="F9" s="0" t="s">
        <v>578</v>
      </c>
      <c r="G9" s="0" t="s">
        <v>579</v>
      </c>
      <c r="H9" s="0">
        <v>12</v>
      </c>
      <c r="I9" s="0">
        <v>49</v>
      </c>
      <c r="J9" s="0">
        <v>2774</v>
      </c>
    </row>
    <row r="10">
      <c r="A10" s="0" t="s">
        <v>28</v>
      </c>
      <c r="B10" s="0" t="s">
        <v>30</v>
      </c>
      <c r="C10" s="0" t="s">
        <v>178</v>
      </c>
      <c r="D10" s="0" t="s">
        <v>260</v>
      </c>
      <c r="E10" s="0" t="s">
        <v>154</v>
      </c>
      <c r="F10" s="0" t="s">
        <v>580</v>
      </c>
      <c r="G10" s="0" t="s">
        <v>581</v>
      </c>
      <c r="H10" s="0">
        <v>12</v>
      </c>
      <c r="I10" s="0">
        <v>49</v>
      </c>
      <c r="J10" s="0">
        <v>2774</v>
      </c>
    </row>
    <row r="11">
      <c r="A11" s="0" t="s">
        <v>28</v>
      </c>
      <c r="B11" s="0" t="s">
        <v>30</v>
      </c>
      <c r="C11" s="0" t="s">
        <v>178</v>
      </c>
      <c r="D11" s="0" t="s">
        <v>260</v>
      </c>
      <c r="E11" s="0" t="s">
        <v>154</v>
      </c>
      <c r="F11" s="0" t="s">
        <v>582</v>
      </c>
      <c r="G11" s="0" t="s">
        <v>583</v>
      </c>
      <c r="H11" s="0">
        <v>12</v>
      </c>
      <c r="I11" s="0">
        <v>49</v>
      </c>
      <c r="J11" s="0">
        <v>2774</v>
      </c>
    </row>
    <row r="12">
      <c r="A12" s="0" t="s">
        <v>28</v>
      </c>
      <c r="B12" s="0" t="s">
        <v>30</v>
      </c>
      <c r="C12" s="0" t="s">
        <v>178</v>
      </c>
      <c r="D12" s="0" t="s">
        <v>260</v>
      </c>
      <c r="E12" s="0" t="s">
        <v>154</v>
      </c>
      <c r="F12" s="0" t="s">
        <v>584</v>
      </c>
      <c r="G12" s="0" t="s">
        <v>585</v>
      </c>
      <c r="H12" s="0">
        <v>12</v>
      </c>
      <c r="I12" s="0">
        <v>49</v>
      </c>
      <c r="J12" s="0">
        <v>2774</v>
      </c>
    </row>
    <row r="13">
      <c r="A13" s="0" t="s">
        <v>28</v>
      </c>
      <c r="B13" s="0" t="s">
        <v>30</v>
      </c>
      <c r="C13" s="0" t="s">
        <v>178</v>
      </c>
      <c r="D13" s="0" t="s">
        <v>260</v>
      </c>
      <c r="E13" s="0" t="s">
        <v>154</v>
      </c>
      <c r="F13" s="0" t="s">
        <v>586</v>
      </c>
      <c r="G13" s="0" t="s">
        <v>587</v>
      </c>
      <c r="H13" s="0">
        <v>12</v>
      </c>
      <c r="I13" s="0">
        <v>49</v>
      </c>
      <c r="J13" s="0">
        <v>2774</v>
      </c>
    </row>
    <row r="14">
      <c r="A14" s="0" t="s">
        <v>28</v>
      </c>
      <c r="B14" s="0" t="s">
        <v>30</v>
      </c>
      <c r="C14" s="0" t="s">
        <v>178</v>
      </c>
      <c r="D14" s="0" t="s">
        <v>260</v>
      </c>
      <c r="E14" s="0" t="s">
        <v>154</v>
      </c>
      <c r="F14" s="0" t="s">
        <v>588</v>
      </c>
      <c r="G14" s="0" t="s">
        <v>589</v>
      </c>
      <c r="H14" s="0">
        <v>12</v>
      </c>
      <c r="I14" s="0">
        <v>49</v>
      </c>
      <c r="J14" s="0">
        <v>2774</v>
      </c>
    </row>
    <row r="15">
      <c r="A15" s="0" t="s">
        <v>28</v>
      </c>
      <c r="B15" s="0" t="s">
        <v>30</v>
      </c>
      <c r="C15" s="0" t="s">
        <v>178</v>
      </c>
      <c r="D15" s="0" t="s">
        <v>260</v>
      </c>
      <c r="E15" s="0" t="s">
        <v>154</v>
      </c>
      <c r="F15" s="0" t="s">
        <v>590</v>
      </c>
      <c r="G15" s="0" t="s">
        <v>591</v>
      </c>
      <c r="H15" s="0">
        <v>12</v>
      </c>
      <c r="I15" s="0">
        <v>49</v>
      </c>
      <c r="J15" s="0">
        <v>2774</v>
      </c>
    </row>
    <row r="16">
      <c r="A16" s="0" t="s">
        <v>28</v>
      </c>
      <c r="B16" s="0" t="s">
        <v>30</v>
      </c>
      <c r="C16" s="0" t="s">
        <v>178</v>
      </c>
      <c r="D16" s="0" t="s">
        <v>260</v>
      </c>
      <c r="E16" s="0" t="s">
        <v>154</v>
      </c>
      <c r="F16" s="0" t="s">
        <v>592</v>
      </c>
      <c r="G16" s="0" t="s">
        <v>498</v>
      </c>
      <c r="H16" s="0">
        <v>12</v>
      </c>
      <c r="I16" s="0">
        <v>49</v>
      </c>
      <c r="J16" s="0">
        <v>2774</v>
      </c>
    </row>
    <row r="17">
      <c r="A17" s="0" t="s">
        <v>28</v>
      </c>
      <c r="B17" s="0" t="s">
        <v>30</v>
      </c>
      <c r="C17" s="0" t="s">
        <v>178</v>
      </c>
      <c r="D17" s="0" t="s">
        <v>260</v>
      </c>
      <c r="E17" s="0" t="s">
        <v>154</v>
      </c>
      <c r="F17" s="0" t="s">
        <v>593</v>
      </c>
      <c r="G17" s="0" t="s">
        <v>594</v>
      </c>
      <c r="H17" s="0">
        <v>12</v>
      </c>
      <c r="I17" s="0">
        <v>49</v>
      </c>
      <c r="J17" s="0">
        <v>2774</v>
      </c>
    </row>
    <row r="18">
      <c r="A18" s="0" t="s">
        <v>28</v>
      </c>
      <c r="B18" s="0" t="s">
        <v>30</v>
      </c>
      <c r="C18" s="0" t="s">
        <v>178</v>
      </c>
      <c r="D18" s="0" t="s">
        <v>260</v>
      </c>
      <c r="E18" s="0" t="s">
        <v>154</v>
      </c>
      <c r="F18" s="0" t="s">
        <v>595</v>
      </c>
      <c r="G18" s="0" t="s">
        <v>596</v>
      </c>
      <c r="H18" s="0">
        <v>12</v>
      </c>
      <c r="I18" s="0">
        <v>49</v>
      </c>
      <c r="J18" s="0">
        <v>2774</v>
      </c>
    </row>
    <row r="19">
      <c r="A19" s="0" t="s">
        <v>28</v>
      </c>
      <c r="B19" s="0" t="s">
        <v>30</v>
      </c>
      <c r="C19" s="0" t="s">
        <v>178</v>
      </c>
      <c r="D19" s="0" t="s">
        <v>260</v>
      </c>
      <c r="E19" s="0" t="s">
        <v>154</v>
      </c>
      <c r="F19" s="0" t="s">
        <v>597</v>
      </c>
      <c r="G19" s="0" t="s">
        <v>598</v>
      </c>
      <c r="H19" s="0">
        <v>12</v>
      </c>
      <c r="I19" s="0">
        <v>49</v>
      </c>
      <c r="J19" s="0">
        <v>2774</v>
      </c>
    </row>
    <row r="20">
      <c r="A20" s="0" t="s">
        <v>28</v>
      </c>
      <c r="B20" s="0" t="s">
        <v>30</v>
      </c>
      <c r="C20" s="0" t="s">
        <v>178</v>
      </c>
      <c r="D20" s="0" t="s">
        <v>260</v>
      </c>
      <c r="E20" s="0" t="s">
        <v>154</v>
      </c>
      <c r="F20" s="0" t="s">
        <v>599</v>
      </c>
      <c r="G20" s="0" t="s">
        <v>600</v>
      </c>
      <c r="H20" s="0">
        <v>12</v>
      </c>
      <c r="I20" s="0">
        <v>49</v>
      </c>
      <c r="J20" s="0">
        <v>2774</v>
      </c>
    </row>
    <row r="21">
      <c r="A21" s="0" t="s">
        <v>28</v>
      </c>
      <c r="B21" s="0" t="s">
        <v>30</v>
      </c>
      <c r="C21" s="0" t="s">
        <v>178</v>
      </c>
      <c r="D21" s="0" t="s">
        <v>260</v>
      </c>
      <c r="E21" s="0" t="s">
        <v>154</v>
      </c>
      <c r="F21" s="0" t="s">
        <v>601</v>
      </c>
      <c r="G21" s="0" t="s">
        <v>602</v>
      </c>
      <c r="H21" s="0">
        <v>12</v>
      </c>
      <c r="I21" s="0">
        <v>49</v>
      </c>
      <c r="J21" s="0">
        <v>2774</v>
      </c>
    </row>
    <row r="22">
      <c r="A22" s="0" t="s">
        <v>28</v>
      </c>
      <c r="B22" s="0" t="s">
        <v>30</v>
      </c>
      <c r="C22" s="0" t="s">
        <v>178</v>
      </c>
      <c r="D22" s="0" t="s">
        <v>260</v>
      </c>
      <c r="E22" s="0" t="s">
        <v>154</v>
      </c>
      <c r="F22" s="0" t="s">
        <v>603</v>
      </c>
      <c r="G22" s="0" t="s">
        <v>604</v>
      </c>
      <c r="H22" s="0">
        <v>12</v>
      </c>
      <c r="I22" s="0">
        <v>49</v>
      </c>
      <c r="J22" s="0">
        <v>2774</v>
      </c>
    </row>
    <row r="23">
      <c r="A23" s="0" t="s">
        <v>28</v>
      </c>
      <c r="B23" s="0" t="s">
        <v>30</v>
      </c>
      <c r="C23" s="0" t="s">
        <v>178</v>
      </c>
      <c r="D23" s="0" t="s">
        <v>260</v>
      </c>
      <c r="E23" s="0" t="s">
        <v>154</v>
      </c>
      <c r="F23" s="0" t="s">
        <v>605</v>
      </c>
      <c r="G23" s="0" t="s">
        <v>114</v>
      </c>
      <c r="H23" s="0">
        <v>12</v>
      </c>
      <c r="I23" s="0">
        <v>49</v>
      </c>
      <c r="J23" s="0">
        <v>2774</v>
      </c>
    </row>
    <row r="24">
      <c r="A24" s="0" t="s">
        <v>28</v>
      </c>
      <c r="B24" s="0" t="s">
        <v>30</v>
      </c>
      <c r="C24" s="0" t="s">
        <v>178</v>
      </c>
      <c r="D24" s="0" t="s">
        <v>260</v>
      </c>
      <c r="E24" s="0" t="s">
        <v>154</v>
      </c>
      <c r="F24" s="0" t="s">
        <v>606</v>
      </c>
      <c r="G24" s="0" t="s">
        <v>607</v>
      </c>
      <c r="H24" s="0">
        <v>12</v>
      </c>
      <c r="I24" s="0">
        <v>49</v>
      </c>
      <c r="J24" s="0">
        <v>2774</v>
      </c>
    </row>
    <row r="25">
      <c r="A25" s="0" t="s">
        <v>28</v>
      </c>
      <c r="B25" s="0" t="s">
        <v>30</v>
      </c>
      <c r="C25" s="0" t="s">
        <v>178</v>
      </c>
      <c r="D25" s="0" t="s">
        <v>260</v>
      </c>
      <c r="E25" s="0" t="s">
        <v>154</v>
      </c>
      <c r="F25" s="0" t="s">
        <v>608</v>
      </c>
      <c r="G25" s="0" t="s">
        <v>598</v>
      </c>
      <c r="H25" s="0">
        <v>12</v>
      </c>
      <c r="I25" s="0">
        <v>49</v>
      </c>
      <c r="J25" s="0">
        <v>2774</v>
      </c>
    </row>
    <row r="26">
      <c r="A26" s="0" t="s">
        <v>28</v>
      </c>
      <c r="B26" s="0" t="s">
        <v>30</v>
      </c>
      <c r="C26" s="0" t="s">
        <v>178</v>
      </c>
      <c r="D26" s="0" t="s">
        <v>260</v>
      </c>
      <c r="E26" s="0" t="s">
        <v>154</v>
      </c>
      <c r="F26" s="0" t="s">
        <v>609</v>
      </c>
      <c r="G26" s="0" t="s">
        <v>341</v>
      </c>
      <c r="H26" s="0">
        <v>12</v>
      </c>
      <c r="I26" s="0">
        <v>49</v>
      </c>
      <c r="J26" s="0">
        <v>2774</v>
      </c>
    </row>
    <row r="27">
      <c r="A27" s="0" t="s">
        <v>28</v>
      </c>
      <c r="B27" s="0" t="s">
        <v>30</v>
      </c>
      <c r="C27" s="0" t="s">
        <v>178</v>
      </c>
      <c r="D27" s="0" t="s">
        <v>260</v>
      </c>
      <c r="E27" s="0" t="s">
        <v>154</v>
      </c>
      <c r="F27" s="0" t="s">
        <v>610</v>
      </c>
      <c r="G27" s="0" t="s">
        <v>611</v>
      </c>
      <c r="H27" s="0">
        <v>12</v>
      </c>
      <c r="I27" s="0">
        <v>49</v>
      </c>
      <c r="J27" s="0">
        <v>2774</v>
      </c>
    </row>
    <row r="28">
      <c r="A28" s="0" t="s">
        <v>28</v>
      </c>
      <c r="B28" s="0" t="s">
        <v>30</v>
      </c>
      <c r="C28" s="0" t="s">
        <v>178</v>
      </c>
      <c r="D28" s="0" t="s">
        <v>260</v>
      </c>
      <c r="E28" s="0" t="s">
        <v>154</v>
      </c>
      <c r="F28" s="0" t="s">
        <v>612</v>
      </c>
      <c r="G28" s="0" t="s">
        <v>613</v>
      </c>
      <c r="H28" s="0">
        <v>12</v>
      </c>
      <c r="I28" s="0">
        <v>49</v>
      </c>
      <c r="J28" s="0">
        <v>2774</v>
      </c>
    </row>
    <row r="29">
      <c r="A29" s="0" t="s">
        <v>28</v>
      </c>
      <c r="B29" s="0" t="s">
        <v>30</v>
      </c>
      <c r="C29" s="0" t="s">
        <v>178</v>
      </c>
      <c r="D29" s="0" t="s">
        <v>260</v>
      </c>
      <c r="E29" s="0" t="s">
        <v>154</v>
      </c>
      <c r="F29" s="0" t="s">
        <v>614</v>
      </c>
      <c r="G29" s="0" t="s">
        <v>615</v>
      </c>
      <c r="H29" s="0">
        <v>12</v>
      </c>
      <c r="I29" s="0">
        <v>49</v>
      </c>
      <c r="J29" s="0">
        <v>2774</v>
      </c>
    </row>
    <row r="30">
      <c r="A30" s="0" t="s">
        <v>28</v>
      </c>
      <c r="B30" s="0" t="s">
        <v>30</v>
      </c>
      <c r="C30" s="0" t="s">
        <v>178</v>
      </c>
      <c r="D30" s="0" t="s">
        <v>260</v>
      </c>
      <c r="E30" s="0" t="s">
        <v>154</v>
      </c>
      <c r="F30" s="0" t="s">
        <v>616</v>
      </c>
      <c r="G30" s="0" t="s">
        <v>617</v>
      </c>
      <c r="H30" s="0">
        <v>12</v>
      </c>
      <c r="I30" s="0">
        <v>49</v>
      </c>
      <c r="J30" s="0">
        <v>2774</v>
      </c>
    </row>
    <row r="31">
      <c r="A31" s="0" t="s">
        <v>28</v>
      </c>
      <c r="B31" s="0" t="s">
        <v>30</v>
      </c>
      <c r="C31" s="0" t="s">
        <v>178</v>
      </c>
      <c r="D31" s="0" t="s">
        <v>260</v>
      </c>
      <c r="E31" s="0" t="s">
        <v>154</v>
      </c>
      <c r="F31" s="0" t="s">
        <v>618</v>
      </c>
      <c r="G31" s="0" t="s">
        <v>602</v>
      </c>
      <c r="H31" s="0">
        <v>12</v>
      </c>
      <c r="I31" s="0">
        <v>49</v>
      </c>
      <c r="J31" s="0">
        <v>2774</v>
      </c>
    </row>
    <row r="32">
      <c r="A32" s="0" t="s">
        <v>28</v>
      </c>
      <c r="B32" s="0" t="s">
        <v>30</v>
      </c>
      <c r="C32" s="0" t="s">
        <v>178</v>
      </c>
      <c r="D32" s="0" t="s">
        <v>260</v>
      </c>
      <c r="E32" s="0" t="s">
        <v>154</v>
      </c>
      <c r="F32" s="0" t="s">
        <v>619</v>
      </c>
      <c r="G32" s="0" t="s">
        <v>525</v>
      </c>
      <c r="H32" s="0">
        <v>12</v>
      </c>
      <c r="I32" s="0">
        <v>49</v>
      </c>
      <c r="J32" s="0">
        <v>2774</v>
      </c>
    </row>
    <row r="33">
      <c r="A33" s="0" t="s">
        <v>28</v>
      </c>
      <c r="B33" s="0" t="s">
        <v>30</v>
      </c>
      <c r="C33" s="0" t="s">
        <v>178</v>
      </c>
      <c r="D33" s="0" t="s">
        <v>260</v>
      </c>
      <c r="E33" s="0" t="s">
        <v>154</v>
      </c>
      <c r="F33" s="0" t="s">
        <v>620</v>
      </c>
      <c r="G33" s="0" t="s">
        <v>114</v>
      </c>
      <c r="H33" s="0">
        <v>12</v>
      </c>
      <c r="I33" s="0">
        <v>49</v>
      </c>
      <c r="J33" s="0">
        <v>2774</v>
      </c>
    </row>
    <row r="34">
      <c r="A34" s="0" t="s">
        <v>28</v>
      </c>
      <c r="B34" s="0" t="s">
        <v>30</v>
      </c>
      <c r="C34" s="0" t="s">
        <v>178</v>
      </c>
      <c r="D34" s="0" t="s">
        <v>260</v>
      </c>
      <c r="E34" s="0" t="s">
        <v>154</v>
      </c>
      <c r="F34" s="0" t="s">
        <v>621</v>
      </c>
      <c r="G34" s="0" t="s">
        <v>622</v>
      </c>
      <c r="H34" s="0">
        <v>12</v>
      </c>
      <c r="I34" s="0">
        <v>49</v>
      </c>
      <c r="J34" s="0">
        <v>2774</v>
      </c>
    </row>
    <row r="35">
      <c r="A35" s="0" t="s">
        <v>28</v>
      </c>
      <c r="B35" s="0" t="s">
        <v>30</v>
      </c>
      <c r="C35" s="0" t="s">
        <v>178</v>
      </c>
      <c r="D35" s="0" t="s">
        <v>260</v>
      </c>
      <c r="E35" s="0" t="s">
        <v>154</v>
      </c>
      <c r="F35" s="0" t="s">
        <v>623</v>
      </c>
      <c r="G35" s="0" t="s">
        <v>624</v>
      </c>
      <c r="H35" s="0">
        <v>12</v>
      </c>
      <c r="I35" s="0">
        <v>49</v>
      </c>
      <c r="J35" s="0">
        <v>2774</v>
      </c>
    </row>
    <row r="36">
      <c r="A36" s="0" t="s">
        <v>28</v>
      </c>
      <c r="B36" s="0" t="s">
        <v>30</v>
      </c>
      <c r="C36" s="0" t="s">
        <v>178</v>
      </c>
      <c r="D36" s="0" t="s">
        <v>260</v>
      </c>
      <c r="E36" s="0" t="s">
        <v>154</v>
      </c>
      <c r="F36" s="0" t="s">
        <v>625</v>
      </c>
      <c r="G36" s="0" t="s">
        <v>626</v>
      </c>
      <c r="H36" s="0">
        <v>12</v>
      </c>
      <c r="I36" s="0">
        <v>49</v>
      </c>
      <c r="J36" s="0">
        <v>2774</v>
      </c>
    </row>
    <row r="37">
      <c r="A37" s="0" t="s">
        <v>28</v>
      </c>
      <c r="B37" s="0" t="s">
        <v>30</v>
      </c>
      <c r="C37" s="0" t="s">
        <v>178</v>
      </c>
      <c r="D37" s="0" t="s">
        <v>260</v>
      </c>
      <c r="E37" s="0" t="s">
        <v>154</v>
      </c>
      <c r="F37" s="0" t="s">
        <v>627</v>
      </c>
      <c r="G37" s="0" t="s">
        <v>628</v>
      </c>
      <c r="H37" s="0">
        <v>12</v>
      </c>
      <c r="I37" s="0">
        <v>49</v>
      </c>
      <c r="J37" s="0">
        <v>2774</v>
      </c>
    </row>
    <row r="38">
      <c r="A38" s="0" t="s">
        <v>28</v>
      </c>
      <c r="B38" s="0" t="s">
        <v>30</v>
      </c>
      <c r="C38" s="0" t="s">
        <v>178</v>
      </c>
      <c r="D38" s="0" t="s">
        <v>260</v>
      </c>
      <c r="E38" s="0" t="s">
        <v>154</v>
      </c>
      <c r="F38" s="0" t="s">
        <v>629</v>
      </c>
      <c r="G38" s="0" t="s">
        <v>630</v>
      </c>
      <c r="H38" s="0">
        <v>12</v>
      </c>
      <c r="I38" s="0">
        <v>49</v>
      </c>
      <c r="J38" s="0">
        <v>2774</v>
      </c>
    </row>
    <row r="39">
      <c r="A39" s="0" t="s">
        <v>28</v>
      </c>
      <c r="B39" s="0" t="s">
        <v>30</v>
      </c>
      <c r="C39" s="0" t="s">
        <v>178</v>
      </c>
      <c r="D39" s="0" t="s">
        <v>260</v>
      </c>
      <c r="E39" s="0" t="s">
        <v>154</v>
      </c>
      <c r="F39" s="0" t="s">
        <v>631</v>
      </c>
      <c r="G39" s="0" t="s">
        <v>527</v>
      </c>
      <c r="H39" s="0">
        <v>12</v>
      </c>
      <c r="I39" s="0">
        <v>49</v>
      </c>
      <c r="J39" s="0">
        <v>2774</v>
      </c>
    </row>
    <row r="40">
      <c r="A40" s="0" t="s">
        <v>28</v>
      </c>
      <c r="B40" s="0" t="s">
        <v>30</v>
      </c>
      <c r="C40" s="0" t="s">
        <v>178</v>
      </c>
      <c r="D40" s="0" t="s">
        <v>260</v>
      </c>
      <c r="E40" s="0" t="s">
        <v>154</v>
      </c>
      <c r="F40" s="0" t="s">
        <v>632</v>
      </c>
      <c r="G40" s="0" t="s">
        <v>263</v>
      </c>
      <c r="H40" s="0">
        <v>12</v>
      </c>
      <c r="I40" s="0">
        <v>49</v>
      </c>
      <c r="J40" s="0">
        <v>2774</v>
      </c>
    </row>
    <row r="41">
      <c r="A41" s="0" t="s">
        <v>28</v>
      </c>
      <c r="B41" s="0" t="s">
        <v>30</v>
      </c>
      <c r="C41" s="0" t="s">
        <v>178</v>
      </c>
      <c r="D41" s="0" t="s">
        <v>260</v>
      </c>
      <c r="E41" s="0" t="s">
        <v>154</v>
      </c>
      <c r="F41" s="0" t="s">
        <v>633</v>
      </c>
      <c r="G41" s="0" t="s">
        <v>634</v>
      </c>
      <c r="H41" s="0">
        <v>12</v>
      </c>
      <c r="I41" s="0">
        <v>49</v>
      </c>
      <c r="J41" s="0">
        <v>2774</v>
      </c>
    </row>
    <row r="42">
      <c r="A42" s="0" t="s">
        <v>28</v>
      </c>
      <c r="B42" s="0" t="s">
        <v>30</v>
      </c>
      <c r="C42" s="0" t="s">
        <v>178</v>
      </c>
      <c r="D42" s="0" t="s">
        <v>260</v>
      </c>
      <c r="E42" s="0" t="s">
        <v>154</v>
      </c>
      <c r="F42" s="0" t="s">
        <v>635</v>
      </c>
      <c r="G42" s="0" t="s">
        <v>634</v>
      </c>
      <c r="H42" s="0">
        <v>12</v>
      </c>
      <c r="I42" s="0">
        <v>49</v>
      </c>
      <c r="J42" s="0">
        <v>2774</v>
      </c>
    </row>
    <row r="43">
      <c r="A43" s="0" t="s">
        <v>28</v>
      </c>
      <c r="B43" s="0" t="s">
        <v>30</v>
      </c>
      <c r="C43" s="0" t="s">
        <v>178</v>
      </c>
      <c r="D43" s="0" t="s">
        <v>260</v>
      </c>
      <c r="E43" s="0" t="s">
        <v>154</v>
      </c>
      <c r="F43" s="0" t="s">
        <v>636</v>
      </c>
      <c r="G43" s="0" t="s">
        <v>114</v>
      </c>
      <c r="H43" s="0">
        <v>12</v>
      </c>
      <c r="I43" s="0">
        <v>49</v>
      </c>
      <c r="J43" s="0">
        <v>2774</v>
      </c>
    </row>
    <row r="44">
      <c r="A44" s="0" t="s">
        <v>28</v>
      </c>
      <c r="B44" s="0" t="s">
        <v>30</v>
      </c>
      <c r="C44" s="0" t="s">
        <v>178</v>
      </c>
      <c r="D44" s="0" t="s">
        <v>260</v>
      </c>
      <c r="E44" s="0" t="s">
        <v>154</v>
      </c>
      <c r="F44" s="0" t="s">
        <v>637</v>
      </c>
      <c r="G44" s="0" t="s">
        <v>607</v>
      </c>
      <c r="H44" s="0">
        <v>12</v>
      </c>
      <c r="I44" s="0">
        <v>49</v>
      </c>
      <c r="J44" s="0">
        <v>2774</v>
      </c>
    </row>
    <row r="45">
      <c r="A45" s="0" t="s">
        <v>28</v>
      </c>
      <c r="B45" s="0" t="s">
        <v>30</v>
      </c>
      <c r="C45" s="0" t="s">
        <v>178</v>
      </c>
      <c r="D45" s="0" t="s">
        <v>260</v>
      </c>
      <c r="E45" s="0" t="s">
        <v>154</v>
      </c>
      <c r="F45" s="0" t="s">
        <v>638</v>
      </c>
      <c r="G45" s="0" t="s">
        <v>639</v>
      </c>
      <c r="H45" s="0">
        <v>12</v>
      </c>
      <c r="I45" s="0">
        <v>49</v>
      </c>
      <c r="J45" s="0">
        <v>2774</v>
      </c>
    </row>
    <row r="46">
      <c r="A46" s="0" t="s">
        <v>28</v>
      </c>
      <c r="B46" s="0" t="s">
        <v>30</v>
      </c>
      <c r="C46" s="0" t="s">
        <v>178</v>
      </c>
      <c r="D46" s="0" t="s">
        <v>260</v>
      </c>
      <c r="E46" s="0" t="s">
        <v>154</v>
      </c>
      <c r="F46" s="0" t="s">
        <v>640</v>
      </c>
      <c r="G46" s="0" t="s">
        <v>114</v>
      </c>
      <c r="H46" s="0">
        <v>12</v>
      </c>
      <c r="I46" s="0">
        <v>49</v>
      </c>
      <c r="J46" s="0">
        <v>2774</v>
      </c>
    </row>
    <row r="47">
      <c r="A47" s="0" t="s">
        <v>28</v>
      </c>
      <c r="B47" s="0" t="s">
        <v>30</v>
      </c>
      <c r="C47" s="0" t="s">
        <v>178</v>
      </c>
      <c r="D47" s="0" t="s">
        <v>260</v>
      </c>
      <c r="E47" s="0" t="s">
        <v>154</v>
      </c>
      <c r="F47" s="0" t="s">
        <v>641</v>
      </c>
      <c r="G47" s="0" t="s">
        <v>642</v>
      </c>
      <c r="H47" s="0">
        <v>12</v>
      </c>
      <c r="I47" s="0">
        <v>49</v>
      </c>
      <c r="J47" s="0">
        <v>2774</v>
      </c>
    </row>
    <row r="48">
      <c r="A48" s="0" t="s">
        <v>28</v>
      </c>
      <c r="B48" s="0" t="s">
        <v>30</v>
      </c>
      <c r="C48" s="0" t="s">
        <v>178</v>
      </c>
      <c r="D48" s="0" t="s">
        <v>260</v>
      </c>
      <c r="E48" s="0" t="s">
        <v>154</v>
      </c>
      <c r="F48" s="0" t="s">
        <v>643</v>
      </c>
      <c r="G48" s="0" t="s">
        <v>114</v>
      </c>
      <c r="H48" s="0">
        <v>12</v>
      </c>
      <c r="I48" s="0">
        <v>49</v>
      </c>
      <c r="J48" s="0">
        <v>2774</v>
      </c>
    </row>
    <row r="49">
      <c r="A49" s="0" t="s">
        <v>28</v>
      </c>
      <c r="B49" s="0" t="s">
        <v>30</v>
      </c>
      <c r="C49" s="0" t="s">
        <v>178</v>
      </c>
      <c r="D49" s="0" t="s">
        <v>260</v>
      </c>
      <c r="E49" s="0" t="s">
        <v>154</v>
      </c>
      <c r="F49" s="0" t="s">
        <v>644</v>
      </c>
      <c r="G49" s="0" t="s">
        <v>341</v>
      </c>
      <c r="H49" s="0">
        <v>12</v>
      </c>
      <c r="I49" s="0">
        <v>49</v>
      </c>
      <c r="J49" s="0">
        <v>2774</v>
      </c>
    </row>
    <row r="50">
      <c r="A50" s="0" t="s">
        <v>28</v>
      </c>
      <c r="B50" s="0" t="s">
        <v>30</v>
      </c>
      <c r="C50" s="0" t="s">
        <v>178</v>
      </c>
      <c r="D50" s="0" t="s">
        <v>260</v>
      </c>
      <c r="E50" s="0" t="s">
        <v>154</v>
      </c>
      <c r="F50" s="0" t="s">
        <v>645</v>
      </c>
      <c r="G50" s="0" t="s">
        <v>646</v>
      </c>
      <c r="H50" s="0">
        <v>12</v>
      </c>
      <c r="I50" s="0">
        <v>49</v>
      </c>
      <c r="J50" s="0">
        <v>2774</v>
      </c>
    </row>
    <row r="51">
      <c r="A51" s="0" t="s">
        <v>28</v>
      </c>
      <c r="B51" s="0" t="s">
        <v>30</v>
      </c>
      <c r="C51" s="0" t="s">
        <v>178</v>
      </c>
      <c r="D51" s="0" t="s">
        <v>260</v>
      </c>
      <c r="E51" s="0" t="s">
        <v>154</v>
      </c>
      <c r="F51" s="0" t="s">
        <v>647</v>
      </c>
      <c r="G51" s="0" t="s">
        <v>648</v>
      </c>
      <c r="H51" s="0">
        <v>12</v>
      </c>
      <c r="I51" s="0">
        <v>49</v>
      </c>
      <c r="J51" s="0">
        <v>2774</v>
      </c>
    </row>
    <row r="52">
      <c r="A52" s="0" t="s">
        <v>28</v>
      </c>
      <c r="B52" s="0" t="s">
        <v>30</v>
      </c>
      <c r="C52" s="0" t="s">
        <v>178</v>
      </c>
      <c r="D52" s="0" t="s">
        <v>260</v>
      </c>
      <c r="E52" s="0" t="s">
        <v>154</v>
      </c>
      <c r="F52" s="0" t="s">
        <v>649</v>
      </c>
      <c r="G52" s="0" t="s">
        <v>269</v>
      </c>
      <c r="H52" s="0">
        <v>12</v>
      </c>
      <c r="I52" s="0">
        <v>49</v>
      </c>
      <c r="J52" s="0">
        <v>2774</v>
      </c>
    </row>
    <row r="53">
      <c r="A53" s="0" t="s">
        <v>28</v>
      </c>
      <c r="B53" s="0" t="s">
        <v>30</v>
      </c>
      <c r="C53" s="0" t="s">
        <v>178</v>
      </c>
      <c r="D53" s="0" t="s">
        <v>260</v>
      </c>
      <c r="E53" s="0" t="s">
        <v>154</v>
      </c>
      <c r="F53" s="0" t="s">
        <v>650</v>
      </c>
      <c r="G53" s="0" t="s">
        <v>651</v>
      </c>
      <c r="H53" s="0">
        <v>12</v>
      </c>
      <c r="I53" s="0">
        <v>49</v>
      </c>
      <c r="J53" s="0">
        <v>2774</v>
      </c>
    </row>
    <row r="54">
      <c r="A54" s="0" t="s">
        <v>28</v>
      </c>
      <c r="B54" s="0" t="s">
        <v>30</v>
      </c>
      <c r="C54" s="0" t="s">
        <v>178</v>
      </c>
      <c r="D54" s="0" t="s">
        <v>260</v>
      </c>
      <c r="E54" s="0" t="s">
        <v>154</v>
      </c>
      <c r="F54" s="0" t="s">
        <v>652</v>
      </c>
      <c r="G54" s="0" t="s">
        <v>653</v>
      </c>
      <c r="H54" s="0">
        <v>12</v>
      </c>
      <c r="I54" s="0">
        <v>49</v>
      </c>
      <c r="J54" s="0">
        <v>2774</v>
      </c>
    </row>
    <row r="55">
      <c r="A55" s="0" t="s">
        <v>28</v>
      </c>
      <c r="B55" s="0" t="s">
        <v>30</v>
      </c>
      <c r="C55" s="0" t="s">
        <v>178</v>
      </c>
      <c r="D55" s="0" t="s">
        <v>260</v>
      </c>
      <c r="E55" s="0" t="s">
        <v>154</v>
      </c>
      <c r="F55" s="0" t="s">
        <v>654</v>
      </c>
      <c r="G55" s="0" t="s">
        <v>655</v>
      </c>
      <c r="H55" s="0">
        <v>12</v>
      </c>
      <c r="I55" s="0">
        <v>49</v>
      </c>
      <c r="J55" s="0">
        <v>2774</v>
      </c>
    </row>
    <row r="56">
      <c r="A56" s="0" t="s">
        <v>28</v>
      </c>
      <c r="B56" s="0" t="s">
        <v>30</v>
      </c>
      <c r="C56" s="0" t="s">
        <v>178</v>
      </c>
      <c r="D56" s="0" t="s">
        <v>260</v>
      </c>
      <c r="E56" s="0" t="s">
        <v>154</v>
      </c>
      <c r="F56" s="0" t="s">
        <v>656</v>
      </c>
      <c r="G56" s="0" t="s">
        <v>602</v>
      </c>
      <c r="H56" s="0">
        <v>12</v>
      </c>
      <c r="I56" s="0">
        <v>49</v>
      </c>
      <c r="J56" s="0">
        <v>2774</v>
      </c>
    </row>
    <row r="57">
      <c r="A57" s="0" t="s">
        <v>28</v>
      </c>
      <c r="B57" s="0" t="s">
        <v>30</v>
      </c>
      <c r="C57" s="0" t="s">
        <v>178</v>
      </c>
      <c r="D57" s="0" t="s">
        <v>260</v>
      </c>
      <c r="E57" s="0" t="s">
        <v>154</v>
      </c>
      <c r="F57" s="0" t="s">
        <v>657</v>
      </c>
      <c r="G57" s="0" t="s">
        <v>279</v>
      </c>
      <c r="H57" s="0">
        <v>12</v>
      </c>
      <c r="I57" s="0">
        <v>49</v>
      </c>
      <c r="J57" s="0">
        <v>2774</v>
      </c>
    </row>
    <row r="58">
      <c r="A58" s="0" t="s">
        <v>28</v>
      </c>
      <c r="B58" s="0" t="s">
        <v>30</v>
      </c>
      <c r="C58" s="0" t="s">
        <v>178</v>
      </c>
      <c r="D58" s="0" t="s">
        <v>260</v>
      </c>
      <c r="E58" s="0" t="s">
        <v>154</v>
      </c>
      <c r="F58" s="0" t="s">
        <v>658</v>
      </c>
      <c r="G58" s="0" t="s">
        <v>525</v>
      </c>
      <c r="H58" s="0">
        <v>12</v>
      </c>
      <c r="I58" s="0">
        <v>49</v>
      </c>
      <c r="J58" s="0">
        <v>2774</v>
      </c>
    </row>
    <row r="59">
      <c r="A59" s="0" t="s">
        <v>28</v>
      </c>
      <c r="B59" s="0" t="s">
        <v>30</v>
      </c>
      <c r="C59" s="0" t="s">
        <v>178</v>
      </c>
      <c r="D59" s="0" t="s">
        <v>260</v>
      </c>
      <c r="E59" s="0" t="s">
        <v>154</v>
      </c>
      <c r="F59" s="0" t="s">
        <v>659</v>
      </c>
      <c r="G59" s="0" t="s">
        <v>660</v>
      </c>
      <c r="H59" s="0">
        <v>12</v>
      </c>
      <c r="I59" s="0">
        <v>49</v>
      </c>
      <c r="J59" s="0">
        <v>2774</v>
      </c>
    </row>
    <row r="60">
      <c r="A60" s="0" t="s">
        <v>28</v>
      </c>
      <c r="B60" s="0" t="s">
        <v>30</v>
      </c>
      <c r="C60" s="0" t="s">
        <v>178</v>
      </c>
      <c r="D60" s="0" t="s">
        <v>260</v>
      </c>
      <c r="E60" s="0" t="s">
        <v>154</v>
      </c>
      <c r="F60" s="0" t="s">
        <v>661</v>
      </c>
      <c r="G60" s="0" t="s">
        <v>662</v>
      </c>
      <c r="H60" s="0">
        <v>12</v>
      </c>
      <c r="I60" s="0">
        <v>49</v>
      </c>
      <c r="J60" s="0">
        <v>2774</v>
      </c>
    </row>
    <row r="61">
      <c r="A61" s="0" t="s">
        <v>28</v>
      </c>
      <c r="B61" s="0" t="s">
        <v>30</v>
      </c>
      <c r="C61" s="0" t="s">
        <v>178</v>
      </c>
      <c r="D61" s="0" t="s">
        <v>260</v>
      </c>
      <c r="E61" s="0" t="s">
        <v>154</v>
      </c>
      <c r="F61" s="0" t="s">
        <v>663</v>
      </c>
      <c r="G61" s="0" t="s">
        <v>114</v>
      </c>
      <c r="H61" s="0">
        <v>12</v>
      </c>
      <c r="I61" s="0">
        <v>49</v>
      </c>
      <c r="J61" s="0">
        <v>2774</v>
      </c>
    </row>
    <row r="62">
      <c r="A62" s="0" t="s">
        <v>28</v>
      </c>
      <c r="B62" s="0" t="s">
        <v>30</v>
      </c>
      <c r="C62" s="0" t="s">
        <v>178</v>
      </c>
      <c r="D62" s="0" t="s">
        <v>260</v>
      </c>
      <c r="E62" s="0" t="s">
        <v>154</v>
      </c>
      <c r="F62" s="0" t="s">
        <v>664</v>
      </c>
      <c r="G62" s="0" t="s">
        <v>665</v>
      </c>
      <c r="H62" s="0">
        <v>12</v>
      </c>
      <c r="I62" s="0">
        <v>49</v>
      </c>
      <c r="J62" s="0">
        <v>2774</v>
      </c>
    </row>
    <row r="63">
      <c r="A63" s="0" t="s">
        <v>28</v>
      </c>
      <c r="B63" s="0" t="s">
        <v>30</v>
      </c>
      <c r="C63" s="0" t="s">
        <v>178</v>
      </c>
      <c r="D63" s="0" t="s">
        <v>260</v>
      </c>
      <c r="E63" s="0" t="s">
        <v>154</v>
      </c>
      <c r="F63" s="0" t="s">
        <v>666</v>
      </c>
      <c r="G63" s="0" t="s">
        <v>585</v>
      </c>
      <c r="H63" s="0">
        <v>12</v>
      </c>
      <c r="I63" s="0">
        <v>49</v>
      </c>
      <c r="J63" s="0">
        <v>2774</v>
      </c>
    </row>
    <row r="64">
      <c r="A64" s="0" t="s">
        <v>28</v>
      </c>
      <c r="B64" s="0" t="s">
        <v>30</v>
      </c>
      <c r="C64" s="0" t="s">
        <v>178</v>
      </c>
      <c r="D64" s="0" t="s">
        <v>260</v>
      </c>
      <c r="E64" s="0" t="s">
        <v>154</v>
      </c>
      <c r="F64" s="0" t="s">
        <v>667</v>
      </c>
      <c r="G64" s="0" t="s">
        <v>668</v>
      </c>
      <c r="H64" s="0">
        <v>12</v>
      </c>
      <c r="I64" s="0">
        <v>49</v>
      </c>
      <c r="J64" s="0">
        <v>2774</v>
      </c>
    </row>
    <row r="65">
      <c r="A65" s="0" t="s">
        <v>28</v>
      </c>
      <c r="B65" s="0" t="s">
        <v>30</v>
      </c>
      <c r="C65" s="0" t="s">
        <v>178</v>
      </c>
      <c r="D65" s="0" t="s">
        <v>260</v>
      </c>
      <c r="E65" s="0" t="s">
        <v>154</v>
      </c>
      <c r="F65" s="0" t="s">
        <v>669</v>
      </c>
      <c r="G65" s="0" t="s">
        <v>527</v>
      </c>
      <c r="H65" s="0">
        <v>12</v>
      </c>
      <c r="I65" s="0">
        <v>49</v>
      </c>
      <c r="J65" s="0">
        <v>2774</v>
      </c>
    </row>
    <row r="66">
      <c r="A66" s="0" t="s">
        <v>28</v>
      </c>
      <c r="B66" s="0" t="s">
        <v>30</v>
      </c>
      <c r="C66" s="0" t="s">
        <v>178</v>
      </c>
      <c r="D66" s="0" t="s">
        <v>260</v>
      </c>
      <c r="E66" s="0" t="s">
        <v>154</v>
      </c>
      <c r="F66" s="0" t="s">
        <v>670</v>
      </c>
      <c r="G66" s="0" t="s">
        <v>671</v>
      </c>
      <c r="H66" s="0">
        <v>12</v>
      </c>
      <c r="I66" s="0">
        <v>49</v>
      </c>
      <c r="J66" s="0">
        <v>2774</v>
      </c>
    </row>
    <row r="67">
      <c r="A67" s="0" t="s">
        <v>28</v>
      </c>
      <c r="B67" s="0" t="s">
        <v>30</v>
      </c>
      <c r="C67" s="0" t="s">
        <v>178</v>
      </c>
      <c r="D67" s="0" t="s">
        <v>260</v>
      </c>
      <c r="E67" s="0" t="s">
        <v>154</v>
      </c>
      <c r="F67" s="0" t="s">
        <v>672</v>
      </c>
      <c r="G67" s="0" t="s">
        <v>498</v>
      </c>
      <c r="H67" s="0">
        <v>12</v>
      </c>
      <c r="I67" s="0">
        <v>49</v>
      </c>
      <c r="J67" s="0">
        <v>2774</v>
      </c>
    </row>
    <row r="68">
      <c r="A68" s="0" t="s">
        <v>28</v>
      </c>
      <c r="B68" s="0" t="s">
        <v>30</v>
      </c>
      <c r="C68" s="0" t="s">
        <v>178</v>
      </c>
      <c r="D68" s="0" t="s">
        <v>260</v>
      </c>
      <c r="E68" s="0" t="s">
        <v>154</v>
      </c>
      <c r="F68" s="0" t="s">
        <v>673</v>
      </c>
      <c r="G68" s="0" t="s">
        <v>598</v>
      </c>
      <c r="H68" s="0">
        <v>12</v>
      </c>
      <c r="I68" s="0">
        <v>49</v>
      </c>
      <c r="J68" s="0">
        <v>2774</v>
      </c>
    </row>
    <row r="69">
      <c r="A69" s="0" t="s">
        <v>28</v>
      </c>
      <c r="B69" s="0" t="s">
        <v>30</v>
      </c>
      <c r="C69" s="0" t="s">
        <v>178</v>
      </c>
      <c r="D69" s="0" t="s">
        <v>260</v>
      </c>
      <c r="E69" s="0" t="s">
        <v>154</v>
      </c>
      <c r="F69" s="0" t="s">
        <v>674</v>
      </c>
      <c r="G69" s="0" t="s">
        <v>341</v>
      </c>
      <c r="H69" s="0">
        <v>12</v>
      </c>
      <c r="I69" s="0">
        <v>49</v>
      </c>
      <c r="J69" s="0">
        <v>2774</v>
      </c>
    </row>
    <row r="70">
      <c r="A70" s="0" t="s">
        <v>28</v>
      </c>
      <c r="B70" s="0" t="s">
        <v>30</v>
      </c>
      <c r="C70" s="0" t="s">
        <v>178</v>
      </c>
      <c r="D70" s="0" t="s">
        <v>260</v>
      </c>
      <c r="E70" s="0" t="s">
        <v>154</v>
      </c>
      <c r="F70" s="0" t="s">
        <v>675</v>
      </c>
      <c r="G70" s="0" t="s">
        <v>676</v>
      </c>
      <c r="H70" s="0">
        <v>12</v>
      </c>
      <c r="I70" s="0">
        <v>49</v>
      </c>
      <c r="J70" s="0">
        <v>2774</v>
      </c>
    </row>
    <row r="71">
      <c r="A71" s="0" t="s">
        <v>28</v>
      </c>
      <c r="B71" s="0" t="s">
        <v>30</v>
      </c>
      <c r="C71" s="0" t="s">
        <v>178</v>
      </c>
      <c r="D71" s="0" t="s">
        <v>260</v>
      </c>
      <c r="E71" s="0" t="s">
        <v>154</v>
      </c>
      <c r="F71" s="0" t="s">
        <v>677</v>
      </c>
      <c r="G71" s="0" t="s">
        <v>525</v>
      </c>
      <c r="H71" s="0">
        <v>12</v>
      </c>
      <c r="I71" s="0">
        <v>49</v>
      </c>
      <c r="J71" s="0">
        <v>2774</v>
      </c>
    </row>
    <row r="72">
      <c r="A72" s="0" t="s">
        <v>28</v>
      </c>
      <c r="B72" s="0" t="s">
        <v>30</v>
      </c>
      <c r="C72" s="0" t="s">
        <v>178</v>
      </c>
      <c r="D72" s="0" t="s">
        <v>260</v>
      </c>
      <c r="E72" s="0" t="s">
        <v>154</v>
      </c>
      <c r="F72" s="0" t="s">
        <v>678</v>
      </c>
      <c r="G72" s="0" t="s">
        <v>679</v>
      </c>
      <c r="H72" s="0">
        <v>12</v>
      </c>
      <c r="I72" s="0">
        <v>49</v>
      </c>
      <c r="J72" s="0">
        <v>2774</v>
      </c>
    </row>
    <row r="73">
      <c r="A73" s="0" t="s">
        <v>28</v>
      </c>
      <c r="B73" s="0" t="s">
        <v>30</v>
      </c>
      <c r="C73" s="0" t="s">
        <v>178</v>
      </c>
      <c r="D73" s="0" t="s">
        <v>260</v>
      </c>
      <c r="E73" s="0" t="s">
        <v>154</v>
      </c>
      <c r="F73" s="0" t="s">
        <v>680</v>
      </c>
      <c r="G73" s="0" t="s">
        <v>681</v>
      </c>
      <c r="H73" s="0">
        <v>12</v>
      </c>
      <c r="I73" s="0">
        <v>49</v>
      </c>
      <c r="J73" s="0">
        <v>2774</v>
      </c>
    </row>
    <row r="74">
      <c r="A74" s="0" t="s">
        <v>28</v>
      </c>
      <c r="B74" s="0" t="s">
        <v>30</v>
      </c>
      <c r="C74" s="0" t="s">
        <v>178</v>
      </c>
      <c r="D74" s="0" t="s">
        <v>260</v>
      </c>
      <c r="E74" s="0" t="s">
        <v>154</v>
      </c>
      <c r="F74" s="0" t="s">
        <v>682</v>
      </c>
      <c r="G74" s="0" t="s">
        <v>554</v>
      </c>
      <c r="H74" s="0">
        <v>12</v>
      </c>
      <c r="I74" s="0">
        <v>49</v>
      </c>
      <c r="J74" s="0">
        <v>2774</v>
      </c>
    </row>
    <row r="75">
      <c r="A75" s="0" t="s">
        <v>28</v>
      </c>
      <c r="B75" s="0" t="s">
        <v>30</v>
      </c>
      <c r="C75" s="0" t="s">
        <v>178</v>
      </c>
      <c r="D75" s="0" t="s">
        <v>260</v>
      </c>
      <c r="E75" s="0" t="s">
        <v>154</v>
      </c>
      <c r="F75" s="0" t="s">
        <v>683</v>
      </c>
      <c r="G75" s="0" t="s">
        <v>684</v>
      </c>
      <c r="H75" s="0">
        <v>12</v>
      </c>
      <c r="I75" s="0">
        <v>49</v>
      </c>
      <c r="J75" s="0">
        <v>2774</v>
      </c>
    </row>
    <row r="76">
      <c r="A76" s="0" t="s">
        <v>28</v>
      </c>
      <c r="B76" s="0" t="s">
        <v>30</v>
      </c>
      <c r="C76" s="0" t="s">
        <v>178</v>
      </c>
      <c r="D76" s="0" t="s">
        <v>260</v>
      </c>
      <c r="E76" s="0" t="s">
        <v>154</v>
      </c>
      <c r="F76" s="0" t="s">
        <v>685</v>
      </c>
      <c r="G76" s="0" t="s">
        <v>686</v>
      </c>
      <c r="H76" s="0">
        <v>12</v>
      </c>
      <c r="I76" s="0">
        <v>49</v>
      </c>
      <c r="J76" s="0">
        <v>2774</v>
      </c>
    </row>
    <row r="77">
      <c r="A77" s="0" t="s">
        <v>28</v>
      </c>
      <c r="B77" s="0" t="s">
        <v>30</v>
      </c>
      <c r="C77" s="0" t="s">
        <v>178</v>
      </c>
      <c r="D77" s="0" t="s">
        <v>260</v>
      </c>
      <c r="E77" s="0" t="s">
        <v>154</v>
      </c>
      <c r="F77" s="0" t="s">
        <v>687</v>
      </c>
      <c r="G77" s="0" t="s">
        <v>688</v>
      </c>
      <c r="H77" s="0">
        <v>12</v>
      </c>
      <c r="I77" s="0">
        <v>49</v>
      </c>
      <c r="J77" s="0">
        <v>2774</v>
      </c>
    </row>
    <row r="78">
      <c r="A78" s="0" t="s">
        <v>28</v>
      </c>
      <c r="B78" s="0" t="s">
        <v>30</v>
      </c>
      <c r="C78" s="0" t="s">
        <v>178</v>
      </c>
      <c r="D78" s="0" t="s">
        <v>260</v>
      </c>
      <c r="E78" s="0" t="s">
        <v>154</v>
      </c>
      <c r="F78" s="0" t="s">
        <v>689</v>
      </c>
      <c r="G78" s="0" t="s">
        <v>341</v>
      </c>
      <c r="H78" s="0">
        <v>12</v>
      </c>
      <c r="I78" s="0">
        <v>49</v>
      </c>
      <c r="J78" s="0">
        <v>2774</v>
      </c>
    </row>
    <row r="79">
      <c r="A79" s="0" t="s">
        <v>28</v>
      </c>
      <c r="B79" s="0" t="s">
        <v>30</v>
      </c>
      <c r="C79" s="0" t="s">
        <v>178</v>
      </c>
      <c r="D79" s="0" t="s">
        <v>260</v>
      </c>
      <c r="E79" s="0" t="s">
        <v>154</v>
      </c>
      <c r="F79" s="0" t="s">
        <v>690</v>
      </c>
      <c r="G79" s="0" t="s">
        <v>607</v>
      </c>
      <c r="H79" s="0">
        <v>12</v>
      </c>
      <c r="I79" s="0">
        <v>49</v>
      </c>
      <c r="J79" s="0">
        <v>2774</v>
      </c>
    </row>
    <row r="80">
      <c r="A80" s="0" t="s">
        <v>28</v>
      </c>
      <c r="B80" s="0" t="s">
        <v>30</v>
      </c>
      <c r="C80" s="0" t="s">
        <v>178</v>
      </c>
      <c r="D80" s="0" t="s">
        <v>260</v>
      </c>
      <c r="E80" s="0" t="s">
        <v>154</v>
      </c>
      <c r="F80" s="0" t="s">
        <v>691</v>
      </c>
      <c r="G80" s="0" t="s">
        <v>692</v>
      </c>
      <c r="H80" s="0">
        <v>12</v>
      </c>
      <c r="I80" s="0">
        <v>49</v>
      </c>
      <c r="J80" s="0">
        <v>2774</v>
      </c>
    </row>
    <row r="81">
      <c r="A81" s="0" t="s">
        <v>28</v>
      </c>
      <c r="B81" s="0" t="s">
        <v>30</v>
      </c>
      <c r="C81" s="0" t="s">
        <v>178</v>
      </c>
      <c r="D81" s="0" t="s">
        <v>260</v>
      </c>
      <c r="E81" s="0" t="s">
        <v>154</v>
      </c>
      <c r="F81" s="0" t="s">
        <v>693</v>
      </c>
      <c r="G81" s="0" t="s">
        <v>694</v>
      </c>
      <c r="H81" s="0">
        <v>12</v>
      </c>
      <c r="I81" s="0">
        <v>49</v>
      </c>
      <c r="J81" s="0">
        <v>2774</v>
      </c>
    </row>
    <row r="82">
      <c r="A82" s="0" t="s">
        <v>28</v>
      </c>
      <c r="B82" s="0" t="s">
        <v>30</v>
      </c>
      <c r="C82" s="0" t="s">
        <v>178</v>
      </c>
      <c r="D82" s="0" t="s">
        <v>260</v>
      </c>
      <c r="E82" s="0" t="s">
        <v>154</v>
      </c>
      <c r="F82" s="0" t="s">
        <v>695</v>
      </c>
      <c r="G82" s="0" t="s">
        <v>279</v>
      </c>
      <c r="H82" s="0">
        <v>12</v>
      </c>
      <c r="I82" s="0">
        <v>49</v>
      </c>
      <c r="J82" s="0">
        <v>2774</v>
      </c>
    </row>
    <row r="83">
      <c r="A83" s="0" t="s">
        <v>28</v>
      </c>
      <c r="B83" s="0" t="s">
        <v>30</v>
      </c>
      <c r="C83" s="0" t="s">
        <v>178</v>
      </c>
      <c r="D83" s="0" t="s">
        <v>260</v>
      </c>
      <c r="E83" s="0" t="s">
        <v>154</v>
      </c>
      <c r="F83" s="0" t="s">
        <v>696</v>
      </c>
      <c r="G83" s="0" t="s">
        <v>697</v>
      </c>
      <c r="H83" s="0">
        <v>12</v>
      </c>
      <c r="I83" s="0">
        <v>49</v>
      </c>
      <c r="J83" s="0">
        <v>2774</v>
      </c>
    </row>
    <row r="84">
      <c r="A84" s="0" t="s">
        <v>28</v>
      </c>
      <c r="B84" s="0" t="s">
        <v>30</v>
      </c>
      <c r="C84" s="0" t="s">
        <v>178</v>
      </c>
      <c r="D84" s="0" t="s">
        <v>260</v>
      </c>
      <c r="E84" s="0" t="s">
        <v>154</v>
      </c>
      <c r="F84" s="0" t="s">
        <v>698</v>
      </c>
      <c r="G84" s="0" t="s">
        <v>602</v>
      </c>
      <c r="H84" s="0">
        <v>12</v>
      </c>
      <c r="I84" s="0">
        <v>49</v>
      </c>
      <c r="J84" s="0">
        <v>2774</v>
      </c>
    </row>
    <row r="85">
      <c r="A85" s="0" t="s">
        <v>28</v>
      </c>
      <c r="B85" s="0" t="s">
        <v>30</v>
      </c>
      <c r="C85" s="0" t="s">
        <v>178</v>
      </c>
      <c r="D85" s="0" t="s">
        <v>260</v>
      </c>
      <c r="E85" s="0" t="s">
        <v>154</v>
      </c>
      <c r="F85" s="0" t="s">
        <v>699</v>
      </c>
      <c r="G85" s="0" t="s">
        <v>700</v>
      </c>
      <c r="H85" s="0">
        <v>12</v>
      </c>
      <c r="I85" s="0">
        <v>49</v>
      </c>
      <c r="J85" s="0">
        <v>2774</v>
      </c>
    </row>
    <row r="86">
      <c r="A86" s="0" t="s">
        <v>28</v>
      </c>
      <c r="B86" s="0" t="s">
        <v>30</v>
      </c>
      <c r="C86" s="0" t="s">
        <v>178</v>
      </c>
      <c r="D86" s="0" t="s">
        <v>260</v>
      </c>
      <c r="E86" s="0" t="s">
        <v>154</v>
      </c>
      <c r="F86" s="0" t="s">
        <v>701</v>
      </c>
      <c r="G86" s="0" t="s">
        <v>702</v>
      </c>
      <c r="H86" s="0">
        <v>12</v>
      </c>
      <c r="I86" s="0">
        <v>49</v>
      </c>
      <c r="J86" s="0">
        <v>2774</v>
      </c>
    </row>
    <row r="87">
      <c r="A87" s="0" t="s">
        <v>28</v>
      </c>
      <c r="B87" s="0" t="s">
        <v>30</v>
      </c>
      <c r="C87" s="0" t="s">
        <v>178</v>
      </c>
      <c r="D87" s="0" t="s">
        <v>260</v>
      </c>
      <c r="E87" s="0" t="s">
        <v>154</v>
      </c>
      <c r="F87" s="0" t="s">
        <v>703</v>
      </c>
      <c r="G87" s="0" t="s">
        <v>704</v>
      </c>
      <c r="H87" s="0">
        <v>12</v>
      </c>
      <c r="I87" s="0">
        <v>49</v>
      </c>
      <c r="J87" s="0">
        <v>2774</v>
      </c>
    </row>
    <row r="88">
      <c r="A88" s="0" t="s">
        <v>28</v>
      </c>
      <c r="B88" s="0" t="s">
        <v>30</v>
      </c>
      <c r="C88" s="0" t="s">
        <v>178</v>
      </c>
      <c r="D88" s="0" t="s">
        <v>260</v>
      </c>
      <c r="E88" s="0" t="s">
        <v>154</v>
      </c>
      <c r="F88" s="0" t="s">
        <v>705</v>
      </c>
      <c r="G88" s="0" t="s">
        <v>337</v>
      </c>
      <c r="H88" s="0">
        <v>12</v>
      </c>
      <c r="I88" s="0">
        <v>49</v>
      </c>
      <c r="J88" s="0">
        <v>2774</v>
      </c>
    </row>
    <row r="89">
      <c r="A89" s="0" t="s">
        <v>28</v>
      </c>
      <c r="B89" s="0" t="s">
        <v>30</v>
      </c>
      <c r="C89" s="0" t="s">
        <v>178</v>
      </c>
      <c r="D89" s="0" t="s">
        <v>260</v>
      </c>
      <c r="E89" s="0" t="s">
        <v>154</v>
      </c>
      <c r="F89" s="0" t="s">
        <v>706</v>
      </c>
      <c r="G89" s="0" t="s">
        <v>707</v>
      </c>
      <c r="H89" s="0">
        <v>12</v>
      </c>
      <c r="I89" s="0">
        <v>49</v>
      </c>
      <c r="J89" s="0">
        <v>2774</v>
      </c>
    </row>
    <row r="90">
      <c r="A90" s="0" t="s">
        <v>28</v>
      </c>
      <c r="B90" s="0" t="s">
        <v>30</v>
      </c>
      <c r="C90" s="0" t="s">
        <v>178</v>
      </c>
      <c r="D90" s="0" t="s">
        <v>260</v>
      </c>
      <c r="E90" s="0" t="s">
        <v>154</v>
      </c>
      <c r="F90" s="0" t="s">
        <v>708</v>
      </c>
      <c r="G90" s="0" t="s">
        <v>709</v>
      </c>
      <c r="H90" s="0">
        <v>12</v>
      </c>
      <c r="I90" s="0">
        <v>49</v>
      </c>
      <c r="J90" s="0">
        <v>2774</v>
      </c>
    </row>
    <row r="91">
      <c r="A91" s="0" t="s">
        <v>28</v>
      </c>
      <c r="B91" s="0" t="s">
        <v>30</v>
      </c>
      <c r="C91" s="0" t="s">
        <v>178</v>
      </c>
      <c r="D91" s="0" t="s">
        <v>281</v>
      </c>
      <c r="E91" s="0" t="s">
        <v>154</v>
      </c>
      <c r="F91" s="0" t="s">
        <v>572</v>
      </c>
      <c r="G91" s="0" t="s">
        <v>573</v>
      </c>
      <c r="H91" s="0">
        <v>12</v>
      </c>
      <c r="I91" s="0">
        <v>49</v>
      </c>
      <c r="J91" s="0">
        <v>2775</v>
      </c>
    </row>
    <row r="92">
      <c r="A92" s="0" t="s">
        <v>28</v>
      </c>
      <c r="B92" s="0" t="s">
        <v>30</v>
      </c>
      <c r="C92" s="0" t="s">
        <v>178</v>
      </c>
      <c r="D92" s="0" t="s">
        <v>281</v>
      </c>
      <c r="E92" s="0" t="s">
        <v>154</v>
      </c>
      <c r="F92" s="0" t="s">
        <v>574</v>
      </c>
      <c r="G92" s="0" t="s">
        <v>341</v>
      </c>
      <c r="H92" s="0">
        <v>12</v>
      </c>
      <c r="I92" s="0">
        <v>49</v>
      </c>
      <c r="J92" s="0">
        <v>2775</v>
      </c>
    </row>
    <row r="93">
      <c r="A93" s="0" t="s">
        <v>28</v>
      </c>
      <c r="B93" s="0" t="s">
        <v>30</v>
      </c>
      <c r="C93" s="0" t="s">
        <v>178</v>
      </c>
      <c r="D93" s="0" t="s">
        <v>281</v>
      </c>
      <c r="E93" s="0" t="s">
        <v>154</v>
      </c>
      <c r="F93" s="0" t="s">
        <v>575</v>
      </c>
      <c r="G93" s="0" t="s">
        <v>351</v>
      </c>
      <c r="H93" s="0">
        <v>12</v>
      </c>
      <c r="I93" s="0">
        <v>49</v>
      </c>
      <c r="J93" s="0">
        <v>2775</v>
      </c>
    </row>
    <row r="94">
      <c r="A94" s="0" t="s">
        <v>28</v>
      </c>
      <c r="B94" s="0" t="s">
        <v>30</v>
      </c>
      <c r="C94" s="0" t="s">
        <v>178</v>
      </c>
      <c r="D94" s="0" t="s">
        <v>281</v>
      </c>
      <c r="E94" s="0" t="s">
        <v>154</v>
      </c>
      <c r="F94" s="0" t="s">
        <v>576</v>
      </c>
      <c r="G94" s="0" t="s">
        <v>577</v>
      </c>
      <c r="H94" s="0">
        <v>12</v>
      </c>
      <c r="I94" s="0">
        <v>49</v>
      </c>
      <c r="J94" s="0">
        <v>2775</v>
      </c>
    </row>
    <row r="95">
      <c r="A95" s="0" t="s">
        <v>28</v>
      </c>
      <c r="B95" s="0" t="s">
        <v>30</v>
      </c>
      <c r="C95" s="0" t="s">
        <v>178</v>
      </c>
      <c r="D95" s="0" t="s">
        <v>281</v>
      </c>
      <c r="E95" s="0" t="s">
        <v>154</v>
      </c>
      <c r="F95" s="0" t="s">
        <v>578</v>
      </c>
      <c r="G95" s="0" t="s">
        <v>579</v>
      </c>
      <c r="H95" s="0">
        <v>12</v>
      </c>
      <c r="I95" s="0">
        <v>49</v>
      </c>
      <c r="J95" s="0">
        <v>2775</v>
      </c>
    </row>
    <row r="96">
      <c r="A96" s="0" t="s">
        <v>28</v>
      </c>
      <c r="B96" s="0" t="s">
        <v>30</v>
      </c>
      <c r="C96" s="0" t="s">
        <v>178</v>
      </c>
      <c r="D96" s="0" t="s">
        <v>281</v>
      </c>
      <c r="E96" s="0" t="s">
        <v>154</v>
      </c>
      <c r="F96" s="0" t="s">
        <v>580</v>
      </c>
      <c r="G96" s="0" t="s">
        <v>710</v>
      </c>
      <c r="H96" s="0">
        <v>12</v>
      </c>
      <c r="I96" s="0">
        <v>49</v>
      </c>
      <c r="J96" s="0">
        <v>2775</v>
      </c>
    </row>
    <row r="97">
      <c r="A97" s="0" t="s">
        <v>28</v>
      </c>
      <c r="B97" s="0" t="s">
        <v>30</v>
      </c>
      <c r="C97" s="0" t="s">
        <v>178</v>
      </c>
      <c r="D97" s="0" t="s">
        <v>281</v>
      </c>
      <c r="E97" s="0" t="s">
        <v>154</v>
      </c>
      <c r="F97" s="0" t="s">
        <v>582</v>
      </c>
      <c r="G97" s="0" t="s">
        <v>711</v>
      </c>
      <c r="H97" s="0">
        <v>12</v>
      </c>
      <c r="I97" s="0">
        <v>49</v>
      </c>
      <c r="J97" s="0">
        <v>2775</v>
      </c>
    </row>
    <row r="98">
      <c r="A98" s="0" t="s">
        <v>28</v>
      </c>
      <c r="B98" s="0" t="s">
        <v>30</v>
      </c>
      <c r="C98" s="0" t="s">
        <v>178</v>
      </c>
      <c r="D98" s="0" t="s">
        <v>281</v>
      </c>
      <c r="E98" s="0" t="s">
        <v>154</v>
      </c>
      <c r="F98" s="0" t="s">
        <v>584</v>
      </c>
      <c r="G98" s="0" t="s">
        <v>585</v>
      </c>
      <c r="H98" s="0">
        <v>12</v>
      </c>
      <c r="I98" s="0">
        <v>49</v>
      </c>
      <c r="J98" s="0">
        <v>2775</v>
      </c>
    </row>
    <row r="99">
      <c r="A99" s="0" t="s">
        <v>28</v>
      </c>
      <c r="B99" s="0" t="s">
        <v>30</v>
      </c>
      <c r="C99" s="0" t="s">
        <v>178</v>
      </c>
      <c r="D99" s="0" t="s">
        <v>281</v>
      </c>
      <c r="E99" s="0" t="s">
        <v>154</v>
      </c>
      <c r="F99" s="0" t="s">
        <v>586</v>
      </c>
      <c r="G99" s="0" t="s">
        <v>587</v>
      </c>
      <c r="H99" s="0">
        <v>12</v>
      </c>
      <c r="I99" s="0">
        <v>49</v>
      </c>
      <c r="J99" s="0">
        <v>2775</v>
      </c>
    </row>
    <row r="100">
      <c r="A100" s="0" t="s">
        <v>28</v>
      </c>
      <c r="B100" s="0" t="s">
        <v>30</v>
      </c>
      <c r="C100" s="0" t="s">
        <v>178</v>
      </c>
      <c r="D100" s="0" t="s">
        <v>281</v>
      </c>
      <c r="E100" s="0" t="s">
        <v>154</v>
      </c>
      <c r="F100" s="0" t="s">
        <v>588</v>
      </c>
      <c r="G100" s="0" t="s">
        <v>589</v>
      </c>
      <c r="H100" s="0">
        <v>12</v>
      </c>
      <c r="I100" s="0">
        <v>49</v>
      </c>
      <c r="J100" s="0">
        <v>2775</v>
      </c>
    </row>
    <row r="101">
      <c r="A101" s="0" t="s">
        <v>28</v>
      </c>
      <c r="B101" s="0" t="s">
        <v>30</v>
      </c>
      <c r="C101" s="0" t="s">
        <v>178</v>
      </c>
      <c r="D101" s="0" t="s">
        <v>281</v>
      </c>
      <c r="E101" s="0" t="s">
        <v>154</v>
      </c>
      <c r="F101" s="0" t="s">
        <v>590</v>
      </c>
      <c r="G101" s="0" t="s">
        <v>591</v>
      </c>
      <c r="H101" s="0">
        <v>12</v>
      </c>
      <c r="I101" s="0">
        <v>49</v>
      </c>
      <c r="J101" s="0">
        <v>2775</v>
      </c>
    </row>
    <row r="102">
      <c r="A102" s="0" t="s">
        <v>28</v>
      </c>
      <c r="B102" s="0" t="s">
        <v>30</v>
      </c>
      <c r="C102" s="0" t="s">
        <v>178</v>
      </c>
      <c r="D102" s="0" t="s">
        <v>281</v>
      </c>
      <c r="E102" s="0" t="s">
        <v>154</v>
      </c>
      <c r="F102" s="0" t="s">
        <v>592</v>
      </c>
      <c r="G102" s="0" t="s">
        <v>498</v>
      </c>
      <c r="H102" s="0">
        <v>12</v>
      </c>
      <c r="I102" s="0">
        <v>49</v>
      </c>
      <c r="J102" s="0">
        <v>2775</v>
      </c>
    </row>
    <row r="103">
      <c r="A103" s="0" t="s">
        <v>28</v>
      </c>
      <c r="B103" s="0" t="s">
        <v>30</v>
      </c>
      <c r="C103" s="0" t="s">
        <v>178</v>
      </c>
      <c r="D103" s="0" t="s">
        <v>281</v>
      </c>
      <c r="E103" s="0" t="s">
        <v>154</v>
      </c>
      <c r="F103" s="0" t="s">
        <v>593</v>
      </c>
      <c r="G103" s="0" t="s">
        <v>712</v>
      </c>
      <c r="H103" s="0">
        <v>12</v>
      </c>
      <c r="I103" s="0">
        <v>49</v>
      </c>
      <c r="J103" s="0">
        <v>2775</v>
      </c>
    </row>
    <row r="104">
      <c r="A104" s="0" t="s">
        <v>28</v>
      </c>
      <c r="B104" s="0" t="s">
        <v>30</v>
      </c>
      <c r="C104" s="0" t="s">
        <v>178</v>
      </c>
      <c r="D104" s="0" t="s">
        <v>281</v>
      </c>
      <c r="E104" s="0" t="s">
        <v>154</v>
      </c>
      <c r="F104" s="0" t="s">
        <v>595</v>
      </c>
      <c r="G104" s="0" t="s">
        <v>596</v>
      </c>
      <c r="H104" s="0">
        <v>12</v>
      </c>
      <c r="I104" s="0">
        <v>49</v>
      </c>
      <c r="J104" s="0">
        <v>2775</v>
      </c>
    </row>
    <row r="105">
      <c r="A105" s="0" t="s">
        <v>28</v>
      </c>
      <c r="B105" s="0" t="s">
        <v>30</v>
      </c>
      <c r="C105" s="0" t="s">
        <v>178</v>
      </c>
      <c r="D105" s="0" t="s">
        <v>281</v>
      </c>
      <c r="E105" s="0" t="s">
        <v>154</v>
      </c>
      <c r="F105" s="0" t="s">
        <v>597</v>
      </c>
      <c r="G105" s="0" t="s">
        <v>598</v>
      </c>
      <c r="H105" s="0">
        <v>12</v>
      </c>
      <c r="I105" s="0">
        <v>49</v>
      </c>
      <c r="J105" s="0">
        <v>2775</v>
      </c>
    </row>
    <row r="106">
      <c r="A106" s="0" t="s">
        <v>28</v>
      </c>
      <c r="B106" s="0" t="s">
        <v>30</v>
      </c>
      <c r="C106" s="0" t="s">
        <v>178</v>
      </c>
      <c r="D106" s="0" t="s">
        <v>281</v>
      </c>
      <c r="E106" s="0" t="s">
        <v>154</v>
      </c>
      <c r="F106" s="0" t="s">
        <v>599</v>
      </c>
      <c r="G106" s="0" t="s">
        <v>600</v>
      </c>
      <c r="H106" s="0">
        <v>12</v>
      </c>
      <c r="I106" s="0">
        <v>49</v>
      </c>
      <c r="J106" s="0">
        <v>2775</v>
      </c>
    </row>
    <row r="107">
      <c r="A107" s="0" t="s">
        <v>28</v>
      </c>
      <c r="B107" s="0" t="s">
        <v>30</v>
      </c>
      <c r="C107" s="0" t="s">
        <v>178</v>
      </c>
      <c r="D107" s="0" t="s">
        <v>281</v>
      </c>
      <c r="E107" s="0" t="s">
        <v>154</v>
      </c>
      <c r="F107" s="0" t="s">
        <v>601</v>
      </c>
      <c r="G107" s="0" t="s">
        <v>602</v>
      </c>
      <c r="H107" s="0">
        <v>12</v>
      </c>
      <c r="I107" s="0">
        <v>49</v>
      </c>
      <c r="J107" s="0">
        <v>2775</v>
      </c>
    </row>
    <row r="108">
      <c r="A108" s="0" t="s">
        <v>28</v>
      </c>
      <c r="B108" s="0" t="s">
        <v>30</v>
      </c>
      <c r="C108" s="0" t="s">
        <v>178</v>
      </c>
      <c r="D108" s="0" t="s">
        <v>281</v>
      </c>
      <c r="E108" s="0" t="s">
        <v>154</v>
      </c>
      <c r="F108" s="0" t="s">
        <v>603</v>
      </c>
      <c r="G108" s="0" t="s">
        <v>604</v>
      </c>
      <c r="H108" s="0">
        <v>12</v>
      </c>
      <c r="I108" s="0">
        <v>49</v>
      </c>
      <c r="J108" s="0">
        <v>2775</v>
      </c>
    </row>
    <row r="109">
      <c r="A109" s="0" t="s">
        <v>28</v>
      </c>
      <c r="B109" s="0" t="s">
        <v>30</v>
      </c>
      <c r="C109" s="0" t="s">
        <v>178</v>
      </c>
      <c r="D109" s="0" t="s">
        <v>281</v>
      </c>
      <c r="E109" s="0" t="s">
        <v>154</v>
      </c>
      <c r="F109" s="0" t="s">
        <v>605</v>
      </c>
      <c r="G109" s="0" t="s">
        <v>114</v>
      </c>
      <c r="H109" s="0">
        <v>12</v>
      </c>
      <c r="I109" s="0">
        <v>49</v>
      </c>
      <c r="J109" s="0">
        <v>2775</v>
      </c>
    </row>
    <row r="110">
      <c r="A110" s="0" t="s">
        <v>28</v>
      </c>
      <c r="B110" s="0" t="s">
        <v>30</v>
      </c>
      <c r="C110" s="0" t="s">
        <v>178</v>
      </c>
      <c r="D110" s="0" t="s">
        <v>281</v>
      </c>
      <c r="E110" s="0" t="s">
        <v>154</v>
      </c>
      <c r="F110" s="0" t="s">
        <v>606</v>
      </c>
      <c r="G110" s="0" t="s">
        <v>607</v>
      </c>
      <c r="H110" s="0">
        <v>12</v>
      </c>
      <c r="I110" s="0">
        <v>49</v>
      </c>
      <c r="J110" s="0">
        <v>2775</v>
      </c>
    </row>
    <row r="111">
      <c r="A111" s="0" t="s">
        <v>28</v>
      </c>
      <c r="B111" s="0" t="s">
        <v>30</v>
      </c>
      <c r="C111" s="0" t="s">
        <v>178</v>
      </c>
      <c r="D111" s="0" t="s">
        <v>281</v>
      </c>
      <c r="E111" s="0" t="s">
        <v>154</v>
      </c>
      <c r="F111" s="0" t="s">
        <v>608</v>
      </c>
      <c r="G111" s="0" t="s">
        <v>598</v>
      </c>
      <c r="H111" s="0">
        <v>12</v>
      </c>
      <c r="I111" s="0">
        <v>49</v>
      </c>
      <c r="J111" s="0">
        <v>2775</v>
      </c>
    </row>
    <row r="112">
      <c r="A112" s="0" t="s">
        <v>28</v>
      </c>
      <c r="B112" s="0" t="s">
        <v>30</v>
      </c>
      <c r="C112" s="0" t="s">
        <v>178</v>
      </c>
      <c r="D112" s="0" t="s">
        <v>281</v>
      </c>
      <c r="E112" s="0" t="s">
        <v>154</v>
      </c>
      <c r="F112" s="0" t="s">
        <v>609</v>
      </c>
      <c r="G112" s="0" t="s">
        <v>341</v>
      </c>
      <c r="H112" s="0">
        <v>12</v>
      </c>
      <c r="I112" s="0">
        <v>49</v>
      </c>
      <c r="J112" s="0">
        <v>2775</v>
      </c>
    </row>
    <row r="113">
      <c r="A113" s="0" t="s">
        <v>28</v>
      </c>
      <c r="B113" s="0" t="s">
        <v>30</v>
      </c>
      <c r="C113" s="0" t="s">
        <v>178</v>
      </c>
      <c r="D113" s="0" t="s">
        <v>281</v>
      </c>
      <c r="E113" s="0" t="s">
        <v>154</v>
      </c>
      <c r="F113" s="0" t="s">
        <v>610</v>
      </c>
      <c r="G113" s="0" t="s">
        <v>611</v>
      </c>
      <c r="H113" s="0">
        <v>12</v>
      </c>
      <c r="I113" s="0">
        <v>49</v>
      </c>
      <c r="J113" s="0">
        <v>2775</v>
      </c>
    </row>
    <row r="114">
      <c r="A114" s="0" t="s">
        <v>28</v>
      </c>
      <c r="B114" s="0" t="s">
        <v>30</v>
      </c>
      <c r="C114" s="0" t="s">
        <v>178</v>
      </c>
      <c r="D114" s="0" t="s">
        <v>281</v>
      </c>
      <c r="E114" s="0" t="s">
        <v>154</v>
      </c>
      <c r="F114" s="0" t="s">
        <v>612</v>
      </c>
      <c r="G114" s="0" t="s">
        <v>713</v>
      </c>
      <c r="H114" s="0">
        <v>12</v>
      </c>
      <c r="I114" s="0">
        <v>49</v>
      </c>
      <c r="J114" s="0">
        <v>2775</v>
      </c>
    </row>
    <row r="115">
      <c r="A115" s="0" t="s">
        <v>28</v>
      </c>
      <c r="B115" s="0" t="s">
        <v>30</v>
      </c>
      <c r="C115" s="0" t="s">
        <v>178</v>
      </c>
      <c r="D115" s="0" t="s">
        <v>281</v>
      </c>
      <c r="E115" s="0" t="s">
        <v>154</v>
      </c>
      <c r="F115" s="0" t="s">
        <v>614</v>
      </c>
      <c r="G115" s="0" t="s">
        <v>714</v>
      </c>
      <c r="H115" s="0">
        <v>12</v>
      </c>
      <c r="I115" s="0">
        <v>49</v>
      </c>
      <c r="J115" s="0">
        <v>2775</v>
      </c>
    </row>
    <row r="116">
      <c r="A116" s="0" t="s">
        <v>28</v>
      </c>
      <c r="B116" s="0" t="s">
        <v>30</v>
      </c>
      <c r="C116" s="0" t="s">
        <v>178</v>
      </c>
      <c r="D116" s="0" t="s">
        <v>281</v>
      </c>
      <c r="E116" s="0" t="s">
        <v>154</v>
      </c>
      <c r="F116" s="0" t="s">
        <v>616</v>
      </c>
      <c r="G116" s="0" t="s">
        <v>617</v>
      </c>
      <c r="H116" s="0">
        <v>12</v>
      </c>
      <c r="I116" s="0">
        <v>49</v>
      </c>
      <c r="J116" s="0">
        <v>2775</v>
      </c>
    </row>
    <row r="117">
      <c r="A117" s="0" t="s">
        <v>28</v>
      </c>
      <c r="B117" s="0" t="s">
        <v>30</v>
      </c>
      <c r="C117" s="0" t="s">
        <v>178</v>
      </c>
      <c r="D117" s="0" t="s">
        <v>281</v>
      </c>
      <c r="E117" s="0" t="s">
        <v>154</v>
      </c>
      <c r="F117" s="0" t="s">
        <v>618</v>
      </c>
      <c r="G117" s="0" t="s">
        <v>602</v>
      </c>
      <c r="H117" s="0">
        <v>12</v>
      </c>
      <c r="I117" s="0">
        <v>49</v>
      </c>
      <c r="J117" s="0">
        <v>2775</v>
      </c>
    </row>
    <row r="118">
      <c r="A118" s="0" t="s">
        <v>28</v>
      </c>
      <c r="B118" s="0" t="s">
        <v>30</v>
      </c>
      <c r="C118" s="0" t="s">
        <v>178</v>
      </c>
      <c r="D118" s="0" t="s">
        <v>281</v>
      </c>
      <c r="E118" s="0" t="s">
        <v>154</v>
      </c>
      <c r="F118" s="0" t="s">
        <v>619</v>
      </c>
      <c r="G118" s="0" t="s">
        <v>534</v>
      </c>
      <c r="H118" s="0">
        <v>12</v>
      </c>
      <c r="I118" s="0">
        <v>49</v>
      </c>
      <c r="J118" s="0">
        <v>2775</v>
      </c>
    </row>
    <row r="119">
      <c r="A119" s="0" t="s">
        <v>28</v>
      </c>
      <c r="B119" s="0" t="s">
        <v>30</v>
      </c>
      <c r="C119" s="0" t="s">
        <v>178</v>
      </c>
      <c r="D119" s="0" t="s">
        <v>281</v>
      </c>
      <c r="E119" s="0" t="s">
        <v>154</v>
      </c>
      <c r="F119" s="0" t="s">
        <v>620</v>
      </c>
      <c r="G119" s="0" t="s">
        <v>114</v>
      </c>
      <c r="H119" s="0">
        <v>12</v>
      </c>
      <c r="I119" s="0">
        <v>49</v>
      </c>
      <c r="J119" s="0">
        <v>2775</v>
      </c>
    </row>
    <row r="120">
      <c r="A120" s="0" t="s">
        <v>28</v>
      </c>
      <c r="B120" s="0" t="s">
        <v>30</v>
      </c>
      <c r="C120" s="0" t="s">
        <v>178</v>
      </c>
      <c r="D120" s="0" t="s">
        <v>281</v>
      </c>
      <c r="E120" s="0" t="s">
        <v>154</v>
      </c>
      <c r="F120" s="0" t="s">
        <v>621</v>
      </c>
      <c r="G120" s="0" t="s">
        <v>622</v>
      </c>
      <c r="H120" s="0">
        <v>12</v>
      </c>
      <c r="I120" s="0">
        <v>49</v>
      </c>
      <c r="J120" s="0">
        <v>2775</v>
      </c>
    </row>
    <row r="121">
      <c r="A121" s="0" t="s">
        <v>28</v>
      </c>
      <c r="B121" s="0" t="s">
        <v>30</v>
      </c>
      <c r="C121" s="0" t="s">
        <v>178</v>
      </c>
      <c r="D121" s="0" t="s">
        <v>281</v>
      </c>
      <c r="E121" s="0" t="s">
        <v>154</v>
      </c>
      <c r="F121" s="0" t="s">
        <v>623</v>
      </c>
      <c r="G121" s="0" t="s">
        <v>624</v>
      </c>
      <c r="H121" s="0">
        <v>12</v>
      </c>
      <c r="I121" s="0">
        <v>49</v>
      </c>
      <c r="J121" s="0">
        <v>2775</v>
      </c>
    </row>
    <row r="122">
      <c r="A122" s="0" t="s">
        <v>28</v>
      </c>
      <c r="B122" s="0" t="s">
        <v>30</v>
      </c>
      <c r="C122" s="0" t="s">
        <v>178</v>
      </c>
      <c r="D122" s="0" t="s">
        <v>281</v>
      </c>
      <c r="E122" s="0" t="s">
        <v>154</v>
      </c>
      <c r="F122" s="0" t="s">
        <v>625</v>
      </c>
      <c r="G122" s="0" t="s">
        <v>626</v>
      </c>
      <c r="H122" s="0">
        <v>12</v>
      </c>
      <c r="I122" s="0">
        <v>49</v>
      </c>
      <c r="J122" s="0">
        <v>2775</v>
      </c>
    </row>
    <row r="123">
      <c r="A123" s="0" t="s">
        <v>28</v>
      </c>
      <c r="B123" s="0" t="s">
        <v>30</v>
      </c>
      <c r="C123" s="0" t="s">
        <v>178</v>
      </c>
      <c r="D123" s="0" t="s">
        <v>281</v>
      </c>
      <c r="E123" s="0" t="s">
        <v>154</v>
      </c>
      <c r="F123" s="0" t="s">
        <v>627</v>
      </c>
      <c r="G123" s="0" t="s">
        <v>628</v>
      </c>
      <c r="H123" s="0">
        <v>12</v>
      </c>
      <c r="I123" s="0">
        <v>49</v>
      </c>
      <c r="J123" s="0">
        <v>2775</v>
      </c>
    </row>
    <row r="124">
      <c r="A124" s="0" t="s">
        <v>28</v>
      </c>
      <c r="B124" s="0" t="s">
        <v>30</v>
      </c>
      <c r="C124" s="0" t="s">
        <v>178</v>
      </c>
      <c r="D124" s="0" t="s">
        <v>281</v>
      </c>
      <c r="E124" s="0" t="s">
        <v>154</v>
      </c>
      <c r="F124" s="0" t="s">
        <v>629</v>
      </c>
      <c r="G124" s="0" t="s">
        <v>630</v>
      </c>
      <c r="H124" s="0">
        <v>12</v>
      </c>
      <c r="I124" s="0">
        <v>49</v>
      </c>
      <c r="J124" s="0">
        <v>2775</v>
      </c>
    </row>
    <row r="125">
      <c r="A125" s="0" t="s">
        <v>28</v>
      </c>
      <c r="B125" s="0" t="s">
        <v>30</v>
      </c>
      <c r="C125" s="0" t="s">
        <v>178</v>
      </c>
      <c r="D125" s="0" t="s">
        <v>281</v>
      </c>
      <c r="E125" s="0" t="s">
        <v>154</v>
      </c>
      <c r="F125" s="0" t="s">
        <v>631</v>
      </c>
      <c r="G125" s="0" t="s">
        <v>527</v>
      </c>
      <c r="H125" s="0">
        <v>12</v>
      </c>
      <c r="I125" s="0">
        <v>49</v>
      </c>
      <c r="J125" s="0">
        <v>2775</v>
      </c>
    </row>
    <row r="126">
      <c r="A126" s="0" t="s">
        <v>28</v>
      </c>
      <c r="B126" s="0" t="s">
        <v>30</v>
      </c>
      <c r="C126" s="0" t="s">
        <v>178</v>
      </c>
      <c r="D126" s="0" t="s">
        <v>281</v>
      </c>
      <c r="E126" s="0" t="s">
        <v>154</v>
      </c>
      <c r="F126" s="0" t="s">
        <v>632</v>
      </c>
      <c r="G126" s="0" t="s">
        <v>263</v>
      </c>
      <c r="H126" s="0">
        <v>12</v>
      </c>
      <c r="I126" s="0">
        <v>49</v>
      </c>
      <c r="J126" s="0">
        <v>2775</v>
      </c>
    </row>
    <row r="127">
      <c r="A127" s="0" t="s">
        <v>28</v>
      </c>
      <c r="B127" s="0" t="s">
        <v>30</v>
      </c>
      <c r="C127" s="0" t="s">
        <v>178</v>
      </c>
      <c r="D127" s="0" t="s">
        <v>281</v>
      </c>
      <c r="E127" s="0" t="s">
        <v>154</v>
      </c>
      <c r="F127" s="0" t="s">
        <v>633</v>
      </c>
      <c r="G127" s="0" t="s">
        <v>634</v>
      </c>
      <c r="H127" s="0">
        <v>12</v>
      </c>
      <c r="I127" s="0">
        <v>49</v>
      </c>
      <c r="J127" s="0">
        <v>2775</v>
      </c>
    </row>
    <row r="128">
      <c r="A128" s="0" t="s">
        <v>28</v>
      </c>
      <c r="B128" s="0" t="s">
        <v>30</v>
      </c>
      <c r="C128" s="0" t="s">
        <v>178</v>
      </c>
      <c r="D128" s="0" t="s">
        <v>281</v>
      </c>
      <c r="E128" s="0" t="s">
        <v>154</v>
      </c>
      <c r="F128" s="0" t="s">
        <v>635</v>
      </c>
      <c r="G128" s="0" t="s">
        <v>634</v>
      </c>
      <c r="H128" s="0">
        <v>12</v>
      </c>
      <c r="I128" s="0">
        <v>49</v>
      </c>
      <c r="J128" s="0">
        <v>2775</v>
      </c>
    </row>
    <row r="129">
      <c r="A129" s="0" t="s">
        <v>28</v>
      </c>
      <c r="B129" s="0" t="s">
        <v>30</v>
      </c>
      <c r="C129" s="0" t="s">
        <v>178</v>
      </c>
      <c r="D129" s="0" t="s">
        <v>281</v>
      </c>
      <c r="E129" s="0" t="s">
        <v>154</v>
      </c>
      <c r="F129" s="0" t="s">
        <v>636</v>
      </c>
      <c r="G129" s="0" t="s">
        <v>114</v>
      </c>
      <c r="H129" s="0">
        <v>12</v>
      </c>
      <c r="I129" s="0">
        <v>49</v>
      </c>
      <c r="J129" s="0">
        <v>2775</v>
      </c>
    </row>
    <row r="130">
      <c r="A130" s="0" t="s">
        <v>28</v>
      </c>
      <c r="B130" s="0" t="s">
        <v>30</v>
      </c>
      <c r="C130" s="0" t="s">
        <v>178</v>
      </c>
      <c r="D130" s="0" t="s">
        <v>281</v>
      </c>
      <c r="E130" s="0" t="s">
        <v>154</v>
      </c>
      <c r="F130" s="0" t="s">
        <v>637</v>
      </c>
      <c r="G130" s="0" t="s">
        <v>607</v>
      </c>
      <c r="H130" s="0">
        <v>12</v>
      </c>
      <c r="I130" s="0">
        <v>49</v>
      </c>
      <c r="J130" s="0">
        <v>2775</v>
      </c>
    </row>
    <row r="131">
      <c r="A131" s="0" t="s">
        <v>28</v>
      </c>
      <c r="B131" s="0" t="s">
        <v>30</v>
      </c>
      <c r="C131" s="0" t="s">
        <v>178</v>
      </c>
      <c r="D131" s="0" t="s">
        <v>281</v>
      </c>
      <c r="E131" s="0" t="s">
        <v>154</v>
      </c>
      <c r="F131" s="0" t="s">
        <v>638</v>
      </c>
      <c r="G131" s="0" t="s">
        <v>715</v>
      </c>
      <c r="H131" s="0">
        <v>12</v>
      </c>
      <c r="I131" s="0">
        <v>49</v>
      </c>
      <c r="J131" s="0">
        <v>2775</v>
      </c>
    </row>
    <row r="132">
      <c r="A132" s="0" t="s">
        <v>28</v>
      </c>
      <c r="B132" s="0" t="s">
        <v>30</v>
      </c>
      <c r="C132" s="0" t="s">
        <v>178</v>
      </c>
      <c r="D132" s="0" t="s">
        <v>281</v>
      </c>
      <c r="E132" s="0" t="s">
        <v>154</v>
      </c>
      <c r="F132" s="0" t="s">
        <v>640</v>
      </c>
      <c r="G132" s="0" t="s">
        <v>114</v>
      </c>
      <c r="H132" s="0">
        <v>12</v>
      </c>
      <c r="I132" s="0">
        <v>49</v>
      </c>
      <c r="J132" s="0">
        <v>2775</v>
      </c>
    </row>
    <row r="133">
      <c r="A133" s="0" t="s">
        <v>28</v>
      </c>
      <c r="B133" s="0" t="s">
        <v>30</v>
      </c>
      <c r="C133" s="0" t="s">
        <v>178</v>
      </c>
      <c r="D133" s="0" t="s">
        <v>281</v>
      </c>
      <c r="E133" s="0" t="s">
        <v>154</v>
      </c>
      <c r="F133" s="0" t="s">
        <v>641</v>
      </c>
      <c r="G133" s="0" t="s">
        <v>716</v>
      </c>
      <c r="H133" s="0">
        <v>12</v>
      </c>
      <c r="I133" s="0">
        <v>49</v>
      </c>
      <c r="J133" s="0">
        <v>2775</v>
      </c>
    </row>
    <row r="134">
      <c r="A134" s="0" t="s">
        <v>28</v>
      </c>
      <c r="B134" s="0" t="s">
        <v>30</v>
      </c>
      <c r="C134" s="0" t="s">
        <v>178</v>
      </c>
      <c r="D134" s="0" t="s">
        <v>281</v>
      </c>
      <c r="E134" s="0" t="s">
        <v>154</v>
      </c>
      <c r="F134" s="0" t="s">
        <v>643</v>
      </c>
      <c r="G134" s="0" t="s">
        <v>114</v>
      </c>
      <c r="H134" s="0">
        <v>12</v>
      </c>
      <c r="I134" s="0">
        <v>49</v>
      </c>
      <c r="J134" s="0">
        <v>2775</v>
      </c>
    </row>
    <row r="135">
      <c r="A135" s="0" t="s">
        <v>28</v>
      </c>
      <c r="B135" s="0" t="s">
        <v>30</v>
      </c>
      <c r="C135" s="0" t="s">
        <v>178</v>
      </c>
      <c r="D135" s="0" t="s">
        <v>281</v>
      </c>
      <c r="E135" s="0" t="s">
        <v>154</v>
      </c>
      <c r="F135" s="0" t="s">
        <v>644</v>
      </c>
      <c r="G135" s="0" t="s">
        <v>341</v>
      </c>
      <c r="H135" s="0">
        <v>12</v>
      </c>
      <c r="I135" s="0">
        <v>49</v>
      </c>
      <c r="J135" s="0">
        <v>2775</v>
      </c>
    </row>
    <row r="136">
      <c r="A136" s="0" t="s">
        <v>28</v>
      </c>
      <c r="B136" s="0" t="s">
        <v>30</v>
      </c>
      <c r="C136" s="0" t="s">
        <v>178</v>
      </c>
      <c r="D136" s="0" t="s">
        <v>281</v>
      </c>
      <c r="E136" s="0" t="s">
        <v>154</v>
      </c>
      <c r="F136" s="0" t="s">
        <v>645</v>
      </c>
      <c r="G136" s="0" t="s">
        <v>646</v>
      </c>
      <c r="H136" s="0">
        <v>12</v>
      </c>
      <c r="I136" s="0">
        <v>49</v>
      </c>
      <c r="J136" s="0">
        <v>2775</v>
      </c>
    </row>
    <row r="137">
      <c r="A137" s="0" t="s">
        <v>28</v>
      </c>
      <c r="B137" s="0" t="s">
        <v>30</v>
      </c>
      <c r="C137" s="0" t="s">
        <v>178</v>
      </c>
      <c r="D137" s="0" t="s">
        <v>281</v>
      </c>
      <c r="E137" s="0" t="s">
        <v>154</v>
      </c>
      <c r="F137" s="0" t="s">
        <v>647</v>
      </c>
      <c r="G137" s="0" t="s">
        <v>648</v>
      </c>
      <c r="H137" s="0">
        <v>12</v>
      </c>
      <c r="I137" s="0">
        <v>49</v>
      </c>
      <c r="J137" s="0">
        <v>2775</v>
      </c>
    </row>
    <row r="138">
      <c r="A138" s="0" t="s">
        <v>28</v>
      </c>
      <c r="B138" s="0" t="s">
        <v>30</v>
      </c>
      <c r="C138" s="0" t="s">
        <v>178</v>
      </c>
      <c r="D138" s="0" t="s">
        <v>281</v>
      </c>
      <c r="E138" s="0" t="s">
        <v>154</v>
      </c>
      <c r="F138" s="0" t="s">
        <v>649</v>
      </c>
      <c r="G138" s="0" t="s">
        <v>269</v>
      </c>
      <c r="H138" s="0">
        <v>12</v>
      </c>
      <c r="I138" s="0">
        <v>49</v>
      </c>
      <c r="J138" s="0">
        <v>2775</v>
      </c>
    </row>
    <row r="139">
      <c r="A139" s="0" t="s">
        <v>28</v>
      </c>
      <c r="B139" s="0" t="s">
        <v>30</v>
      </c>
      <c r="C139" s="0" t="s">
        <v>178</v>
      </c>
      <c r="D139" s="0" t="s">
        <v>281</v>
      </c>
      <c r="E139" s="0" t="s">
        <v>154</v>
      </c>
      <c r="F139" s="0" t="s">
        <v>650</v>
      </c>
      <c r="G139" s="0" t="s">
        <v>651</v>
      </c>
      <c r="H139" s="0">
        <v>12</v>
      </c>
      <c r="I139" s="0">
        <v>49</v>
      </c>
      <c r="J139" s="0">
        <v>2775</v>
      </c>
    </row>
    <row r="140">
      <c r="A140" s="0" t="s">
        <v>28</v>
      </c>
      <c r="B140" s="0" t="s">
        <v>30</v>
      </c>
      <c r="C140" s="0" t="s">
        <v>178</v>
      </c>
      <c r="D140" s="0" t="s">
        <v>281</v>
      </c>
      <c r="E140" s="0" t="s">
        <v>154</v>
      </c>
      <c r="F140" s="0" t="s">
        <v>652</v>
      </c>
      <c r="G140" s="0" t="s">
        <v>653</v>
      </c>
      <c r="H140" s="0">
        <v>12</v>
      </c>
      <c r="I140" s="0">
        <v>49</v>
      </c>
      <c r="J140" s="0">
        <v>2775</v>
      </c>
    </row>
    <row r="141">
      <c r="A141" s="0" t="s">
        <v>28</v>
      </c>
      <c r="B141" s="0" t="s">
        <v>30</v>
      </c>
      <c r="C141" s="0" t="s">
        <v>178</v>
      </c>
      <c r="D141" s="0" t="s">
        <v>281</v>
      </c>
      <c r="E141" s="0" t="s">
        <v>154</v>
      </c>
      <c r="F141" s="0" t="s">
        <v>654</v>
      </c>
      <c r="G141" s="0" t="s">
        <v>655</v>
      </c>
      <c r="H141" s="0">
        <v>12</v>
      </c>
      <c r="I141" s="0">
        <v>49</v>
      </c>
      <c r="J141" s="0">
        <v>2775</v>
      </c>
    </row>
    <row r="142">
      <c r="A142" s="0" t="s">
        <v>28</v>
      </c>
      <c r="B142" s="0" t="s">
        <v>30</v>
      </c>
      <c r="C142" s="0" t="s">
        <v>178</v>
      </c>
      <c r="D142" s="0" t="s">
        <v>281</v>
      </c>
      <c r="E142" s="0" t="s">
        <v>154</v>
      </c>
      <c r="F142" s="0" t="s">
        <v>656</v>
      </c>
      <c r="G142" s="0" t="s">
        <v>602</v>
      </c>
      <c r="H142" s="0">
        <v>12</v>
      </c>
      <c r="I142" s="0">
        <v>49</v>
      </c>
      <c r="J142" s="0">
        <v>2775</v>
      </c>
    </row>
    <row r="143">
      <c r="A143" s="0" t="s">
        <v>28</v>
      </c>
      <c r="B143" s="0" t="s">
        <v>30</v>
      </c>
      <c r="C143" s="0" t="s">
        <v>178</v>
      </c>
      <c r="D143" s="0" t="s">
        <v>281</v>
      </c>
      <c r="E143" s="0" t="s">
        <v>154</v>
      </c>
      <c r="F143" s="0" t="s">
        <v>657</v>
      </c>
      <c r="G143" s="0" t="s">
        <v>279</v>
      </c>
      <c r="H143" s="0">
        <v>12</v>
      </c>
      <c r="I143" s="0">
        <v>49</v>
      </c>
      <c r="J143" s="0">
        <v>2775</v>
      </c>
    </row>
    <row r="144">
      <c r="A144" s="0" t="s">
        <v>28</v>
      </c>
      <c r="B144" s="0" t="s">
        <v>30</v>
      </c>
      <c r="C144" s="0" t="s">
        <v>178</v>
      </c>
      <c r="D144" s="0" t="s">
        <v>281</v>
      </c>
      <c r="E144" s="0" t="s">
        <v>154</v>
      </c>
      <c r="F144" s="0" t="s">
        <v>658</v>
      </c>
      <c r="G144" s="0" t="s">
        <v>534</v>
      </c>
      <c r="H144" s="0">
        <v>12</v>
      </c>
      <c r="I144" s="0">
        <v>49</v>
      </c>
      <c r="J144" s="0">
        <v>2775</v>
      </c>
    </row>
    <row r="145">
      <c r="A145" s="0" t="s">
        <v>28</v>
      </c>
      <c r="B145" s="0" t="s">
        <v>30</v>
      </c>
      <c r="C145" s="0" t="s">
        <v>178</v>
      </c>
      <c r="D145" s="0" t="s">
        <v>281</v>
      </c>
      <c r="E145" s="0" t="s">
        <v>154</v>
      </c>
      <c r="F145" s="0" t="s">
        <v>659</v>
      </c>
      <c r="G145" s="0" t="s">
        <v>660</v>
      </c>
      <c r="H145" s="0">
        <v>12</v>
      </c>
      <c r="I145" s="0">
        <v>49</v>
      </c>
      <c r="J145" s="0">
        <v>2775</v>
      </c>
    </row>
    <row r="146">
      <c r="A146" s="0" t="s">
        <v>28</v>
      </c>
      <c r="B146" s="0" t="s">
        <v>30</v>
      </c>
      <c r="C146" s="0" t="s">
        <v>178</v>
      </c>
      <c r="D146" s="0" t="s">
        <v>281</v>
      </c>
      <c r="E146" s="0" t="s">
        <v>154</v>
      </c>
      <c r="F146" s="0" t="s">
        <v>661</v>
      </c>
      <c r="G146" s="0" t="s">
        <v>662</v>
      </c>
      <c r="H146" s="0">
        <v>12</v>
      </c>
      <c r="I146" s="0">
        <v>49</v>
      </c>
      <c r="J146" s="0">
        <v>2775</v>
      </c>
    </row>
    <row r="147">
      <c r="A147" s="0" t="s">
        <v>28</v>
      </c>
      <c r="B147" s="0" t="s">
        <v>30</v>
      </c>
      <c r="C147" s="0" t="s">
        <v>178</v>
      </c>
      <c r="D147" s="0" t="s">
        <v>281</v>
      </c>
      <c r="E147" s="0" t="s">
        <v>154</v>
      </c>
      <c r="F147" s="0" t="s">
        <v>663</v>
      </c>
      <c r="G147" s="0" t="s">
        <v>114</v>
      </c>
      <c r="H147" s="0">
        <v>12</v>
      </c>
      <c r="I147" s="0">
        <v>49</v>
      </c>
      <c r="J147" s="0">
        <v>2775</v>
      </c>
    </row>
    <row r="148">
      <c r="A148" s="0" t="s">
        <v>28</v>
      </c>
      <c r="B148" s="0" t="s">
        <v>30</v>
      </c>
      <c r="C148" s="0" t="s">
        <v>178</v>
      </c>
      <c r="D148" s="0" t="s">
        <v>281</v>
      </c>
      <c r="E148" s="0" t="s">
        <v>154</v>
      </c>
      <c r="F148" s="0" t="s">
        <v>664</v>
      </c>
      <c r="G148" s="0" t="s">
        <v>665</v>
      </c>
      <c r="H148" s="0">
        <v>12</v>
      </c>
      <c r="I148" s="0">
        <v>49</v>
      </c>
      <c r="J148" s="0">
        <v>2775</v>
      </c>
    </row>
    <row r="149">
      <c r="A149" s="0" t="s">
        <v>28</v>
      </c>
      <c r="B149" s="0" t="s">
        <v>30</v>
      </c>
      <c r="C149" s="0" t="s">
        <v>178</v>
      </c>
      <c r="D149" s="0" t="s">
        <v>281</v>
      </c>
      <c r="E149" s="0" t="s">
        <v>154</v>
      </c>
      <c r="F149" s="0" t="s">
        <v>666</v>
      </c>
      <c r="G149" s="0" t="s">
        <v>585</v>
      </c>
      <c r="H149" s="0">
        <v>12</v>
      </c>
      <c r="I149" s="0">
        <v>49</v>
      </c>
      <c r="J149" s="0">
        <v>2775</v>
      </c>
    </row>
    <row r="150">
      <c r="A150" s="0" t="s">
        <v>28</v>
      </c>
      <c r="B150" s="0" t="s">
        <v>30</v>
      </c>
      <c r="C150" s="0" t="s">
        <v>178</v>
      </c>
      <c r="D150" s="0" t="s">
        <v>281</v>
      </c>
      <c r="E150" s="0" t="s">
        <v>154</v>
      </c>
      <c r="F150" s="0" t="s">
        <v>667</v>
      </c>
      <c r="G150" s="0" t="s">
        <v>668</v>
      </c>
      <c r="H150" s="0">
        <v>12</v>
      </c>
      <c r="I150" s="0">
        <v>49</v>
      </c>
      <c r="J150" s="0">
        <v>2775</v>
      </c>
    </row>
    <row r="151">
      <c r="A151" s="0" t="s">
        <v>28</v>
      </c>
      <c r="B151" s="0" t="s">
        <v>30</v>
      </c>
      <c r="C151" s="0" t="s">
        <v>178</v>
      </c>
      <c r="D151" s="0" t="s">
        <v>281</v>
      </c>
      <c r="E151" s="0" t="s">
        <v>154</v>
      </c>
      <c r="F151" s="0" t="s">
        <v>669</v>
      </c>
      <c r="G151" s="0" t="s">
        <v>527</v>
      </c>
      <c r="H151" s="0">
        <v>12</v>
      </c>
      <c r="I151" s="0">
        <v>49</v>
      </c>
      <c r="J151" s="0">
        <v>2775</v>
      </c>
    </row>
    <row r="152">
      <c r="A152" s="0" t="s">
        <v>28</v>
      </c>
      <c r="B152" s="0" t="s">
        <v>30</v>
      </c>
      <c r="C152" s="0" t="s">
        <v>178</v>
      </c>
      <c r="D152" s="0" t="s">
        <v>281</v>
      </c>
      <c r="E152" s="0" t="s">
        <v>154</v>
      </c>
      <c r="F152" s="0" t="s">
        <v>670</v>
      </c>
      <c r="G152" s="0" t="s">
        <v>717</v>
      </c>
      <c r="H152" s="0">
        <v>12</v>
      </c>
      <c r="I152" s="0">
        <v>49</v>
      </c>
      <c r="J152" s="0">
        <v>2775</v>
      </c>
    </row>
    <row r="153">
      <c r="A153" s="0" t="s">
        <v>28</v>
      </c>
      <c r="B153" s="0" t="s">
        <v>30</v>
      </c>
      <c r="C153" s="0" t="s">
        <v>178</v>
      </c>
      <c r="D153" s="0" t="s">
        <v>281</v>
      </c>
      <c r="E153" s="0" t="s">
        <v>154</v>
      </c>
      <c r="F153" s="0" t="s">
        <v>672</v>
      </c>
      <c r="G153" s="0" t="s">
        <v>498</v>
      </c>
      <c r="H153" s="0">
        <v>12</v>
      </c>
      <c r="I153" s="0">
        <v>49</v>
      </c>
      <c r="J153" s="0">
        <v>2775</v>
      </c>
    </row>
    <row r="154">
      <c r="A154" s="0" t="s">
        <v>28</v>
      </c>
      <c r="B154" s="0" t="s">
        <v>30</v>
      </c>
      <c r="C154" s="0" t="s">
        <v>178</v>
      </c>
      <c r="D154" s="0" t="s">
        <v>281</v>
      </c>
      <c r="E154" s="0" t="s">
        <v>154</v>
      </c>
      <c r="F154" s="0" t="s">
        <v>673</v>
      </c>
      <c r="G154" s="0" t="s">
        <v>598</v>
      </c>
      <c r="H154" s="0">
        <v>12</v>
      </c>
      <c r="I154" s="0">
        <v>49</v>
      </c>
      <c r="J154" s="0">
        <v>2775</v>
      </c>
    </row>
    <row r="155">
      <c r="A155" s="0" t="s">
        <v>28</v>
      </c>
      <c r="B155" s="0" t="s">
        <v>30</v>
      </c>
      <c r="C155" s="0" t="s">
        <v>178</v>
      </c>
      <c r="D155" s="0" t="s">
        <v>281</v>
      </c>
      <c r="E155" s="0" t="s">
        <v>154</v>
      </c>
      <c r="F155" s="0" t="s">
        <v>674</v>
      </c>
      <c r="G155" s="0" t="s">
        <v>341</v>
      </c>
      <c r="H155" s="0">
        <v>12</v>
      </c>
      <c r="I155" s="0">
        <v>49</v>
      </c>
      <c r="J155" s="0">
        <v>2775</v>
      </c>
    </row>
    <row r="156">
      <c r="A156" s="0" t="s">
        <v>28</v>
      </c>
      <c r="B156" s="0" t="s">
        <v>30</v>
      </c>
      <c r="C156" s="0" t="s">
        <v>178</v>
      </c>
      <c r="D156" s="0" t="s">
        <v>281</v>
      </c>
      <c r="E156" s="0" t="s">
        <v>154</v>
      </c>
      <c r="F156" s="0" t="s">
        <v>675</v>
      </c>
      <c r="G156" s="0" t="s">
        <v>676</v>
      </c>
      <c r="H156" s="0">
        <v>12</v>
      </c>
      <c r="I156" s="0">
        <v>49</v>
      </c>
      <c r="J156" s="0">
        <v>2775</v>
      </c>
    </row>
    <row r="157">
      <c r="A157" s="0" t="s">
        <v>28</v>
      </c>
      <c r="B157" s="0" t="s">
        <v>30</v>
      </c>
      <c r="C157" s="0" t="s">
        <v>178</v>
      </c>
      <c r="D157" s="0" t="s">
        <v>281</v>
      </c>
      <c r="E157" s="0" t="s">
        <v>154</v>
      </c>
      <c r="F157" s="0" t="s">
        <v>677</v>
      </c>
      <c r="G157" s="0" t="s">
        <v>534</v>
      </c>
      <c r="H157" s="0">
        <v>12</v>
      </c>
      <c r="I157" s="0">
        <v>49</v>
      </c>
      <c r="J157" s="0">
        <v>2775</v>
      </c>
    </row>
    <row r="158">
      <c r="A158" s="0" t="s">
        <v>28</v>
      </c>
      <c r="B158" s="0" t="s">
        <v>30</v>
      </c>
      <c r="C158" s="0" t="s">
        <v>178</v>
      </c>
      <c r="D158" s="0" t="s">
        <v>281</v>
      </c>
      <c r="E158" s="0" t="s">
        <v>154</v>
      </c>
      <c r="F158" s="0" t="s">
        <v>678</v>
      </c>
      <c r="G158" s="0" t="s">
        <v>679</v>
      </c>
      <c r="H158" s="0">
        <v>12</v>
      </c>
      <c r="I158" s="0">
        <v>49</v>
      </c>
      <c r="J158" s="0">
        <v>2775</v>
      </c>
    </row>
    <row r="159">
      <c r="A159" s="0" t="s">
        <v>28</v>
      </c>
      <c r="B159" s="0" t="s">
        <v>30</v>
      </c>
      <c r="C159" s="0" t="s">
        <v>178</v>
      </c>
      <c r="D159" s="0" t="s">
        <v>281</v>
      </c>
      <c r="E159" s="0" t="s">
        <v>154</v>
      </c>
      <c r="F159" s="0" t="s">
        <v>680</v>
      </c>
      <c r="G159" s="0" t="s">
        <v>681</v>
      </c>
      <c r="H159" s="0">
        <v>12</v>
      </c>
      <c r="I159" s="0">
        <v>49</v>
      </c>
      <c r="J159" s="0">
        <v>2775</v>
      </c>
    </row>
    <row r="160">
      <c r="A160" s="0" t="s">
        <v>28</v>
      </c>
      <c r="B160" s="0" t="s">
        <v>30</v>
      </c>
      <c r="C160" s="0" t="s">
        <v>178</v>
      </c>
      <c r="D160" s="0" t="s">
        <v>281</v>
      </c>
      <c r="E160" s="0" t="s">
        <v>154</v>
      </c>
      <c r="F160" s="0" t="s">
        <v>682</v>
      </c>
      <c r="G160" s="0" t="s">
        <v>554</v>
      </c>
      <c r="H160" s="0">
        <v>12</v>
      </c>
      <c r="I160" s="0">
        <v>49</v>
      </c>
      <c r="J160" s="0">
        <v>2775</v>
      </c>
    </row>
    <row r="161">
      <c r="A161" s="0" t="s">
        <v>28</v>
      </c>
      <c r="B161" s="0" t="s">
        <v>30</v>
      </c>
      <c r="C161" s="0" t="s">
        <v>178</v>
      </c>
      <c r="D161" s="0" t="s">
        <v>281</v>
      </c>
      <c r="E161" s="0" t="s">
        <v>154</v>
      </c>
      <c r="F161" s="0" t="s">
        <v>683</v>
      </c>
      <c r="G161" s="0" t="s">
        <v>684</v>
      </c>
      <c r="H161" s="0">
        <v>12</v>
      </c>
      <c r="I161" s="0">
        <v>49</v>
      </c>
      <c r="J161" s="0">
        <v>2775</v>
      </c>
    </row>
    <row r="162">
      <c r="A162" s="0" t="s">
        <v>28</v>
      </c>
      <c r="B162" s="0" t="s">
        <v>30</v>
      </c>
      <c r="C162" s="0" t="s">
        <v>178</v>
      </c>
      <c r="D162" s="0" t="s">
        <v>281</v>
      </c>
      <c r="E162" s="0" t="s">
        <v>154</v>
      </c>
      <c r="F162" s="0" t="s">
        <v>685</v>
      </c>
      <c r="G162" s="0" t="s">
        <v>686</v>
      </c>
      <c r="H162" s="0">
        <v>12</v>
      </c>
      <c r="I162" s="0">
        <v>49</v>
      </c>
      <c r="J162" s="0">
        <v>2775</v>
      </c>
    </row>
    <row r="163">
      <c r="A163" s="0" t="s">
        <v>28</v>
      </c>
      <c r="B163" s="0" t="s">
        <v>30</v>
      </c>
      <c r="C163" s="0" t="s">
        <v>178</v>
      </c>
      <c r="D163" s="0" t="s">
        <v>281</v>
      </c>
      <c r="E163" s="0" t="s">
        <v>154</v>
      </c>
      <c r="F163" s="0" t="s">
        <v>687</v>
      </c>
      <c r="G163" s="0" t="s">
        <v>688</v>
      </c>
      <c r="H163" s="0">
        <v>12</v>
      </c>
      <c r="I163" s="0">
        <v>49</v>
      </c>
      <c r="J163" s="0">
        <v>2775</v>
      </c>
    </row>
    <row r="164">
      <c r="A164" s="0" t="s">
        <v>28</v>
      </c>
      <c r="B164" s="0" t="s">
        <v>30</v>
      </c>
      <c r="C164" s="0" t="s">
        <v>178</v>
      </c>
      <c r="D164" s="0" t="s">
        <v>281</v>
      </c>
      <c r="E164" s="0" t="s">
        <v>154</v>
      </c>
      <c r="F164" s="0" t="s">
        <v>689</v>
      </c>
      <c r="G164" s="0" t="s">
        <v>341</v>
      </c>
      <c r="H164" s="0">
        <v>12</v>
      </c>
      <c r="I164" s="0">
        <v>49</v>
      </c>
      <c r="J164" s="0">
        <v>2775</v>
      </c>
    </row>
    <row r="165">
      <c r="A165" s="0" t="s">
        <v>28</v>
      </c>
      <c r="B165" s="0" t="s">
        <v>30</v>
      </c>
      <c r="C165" s="0" t="s">
        <v>178</v>
      </c>
      <c r="D165" s="0" t="s">
        <v>281</v>
      </c>
      <c r="E165" s="0" t="s">
        <v>154</v>
      </c>
      <c r="F165" s="0" t="s">
        <v>690</v>
      </c>
      <c r="G165" s="0" t="s">
        <v>607</v>
      </c>
      <c r="H165" s="0">
        <v>12</v>
      </c>
      <c r="I165" s="0">
        <v>49</v>
      </c>
      <c r="J165" s="0">
        <v>2775</v>
      </c>
    </row>
    <row r="166">
      <c r="A166" s="0" t="s">
        <v>28</v>
      </c>
      <c r="B166" s="0" t="s">
        <v>30</v>
      </c>
      <c r="C166" s="0" t="s">
        <v>178</v>
      </c>
      <c r="D166" s="0" t="s">
        <v>281</v>
      </c>
      <c r="E166" s="0" t="s">
        <v>154</v>
      </c>
      <c r="F166" s="0" t="s">
        <v>691</v>
      </c>
      <c r="G166" s="0" t="s">
        <v>692</v>
      </c>
      <c r="H166" s="0">
        <v>12</v>
      </c>
      <c r="I166" s="0">
        <v>49</v>
      </c>
      <c r="J166" s="0">
        <v>2775</v>
      </c>
    </row>
    <row r="167">
      <c r="A167" s="0" t="s">
        <v>28</v>
      </c>
      <c r="B167" s="0" t="s">
        <v>30</v>
      </c>
      <c r="C167" s="0" t="s">
        <v>178</v>
      </c>
      <c r="D167" s="0" t="s">
        <v>281</v>
      </c>
      <c r="E167" s="0" t="s">
        <v>154</v>
      </c>
      <c r="F167" s="0" t="s">
        <v>693</v>
      </c>
      <c r="G167" s="0" t="s">
        <v>694</v>
      </c>
      <c r="H167" s="0">
        <v>12</v>
      </c>
      <c r="I167" s="0">
        <v>49</v>
      </c>
      <c r="J167" s="0">
        <v>2775</v>
      </c>
    </row>
    <row r="168">
      <c r="A168" s="0" t="s">
        <v>28</v>
      </c>
      <c r="B168" s="0" t="s">
        <v>30</v>
      </c>
      <c r="C168" s="0" t="s">
        <v>178</v>
      </c>
      <c r="D168" s="0" t="s">
        <v>281</v>
      </c>
      <c r="E168" s="0" t="s">
        <v>154</v>
      </c>
      <c r="F168" s="0" t="s">
        <v>695</v>
      </c>
      <c r="G168" s="0" t="s">
        <v>279</v>
      </c>
      <c r="H168" s="0">
        <v>12</v>
      </c>
      <c r="I168" s="0">
        <v>49</v>
      </c>
      <c r="J168" s="0">
        <v>2775</v>
      </c>
    </row>
    <row r="169">
      <c r="A169" s="0" t="s">
        <v>28</v>
      </c>
      <c r="B169" s="0" t="s">
        <v>30</v>
      </c>
      <c r="C169" s="0" t="s">
        <v>178</v>
      </c>
      <c r="D169" s="0" t="s">
        <v>281</v>
      </c>
      <c r="E169" s="0" t="s">
        <v>154</v>
      </c>
      <c r="F169" s="0" t="s">
        <v>696</v>
      </c>
      <c r="G169" s="0" t="s">
        <v>697</v>
      </c>
      <c r="H169" s="0">
        <v>12</v>
      </c>
      <c r="I169" s="0">
        <v>49</v>
      </c>
      <c r="J169" s="0">
        <v>2775</v>
      </c>
    </row>
    <row r="170">
      <c r="A170" s="0" t="s">
        <v>28</v>
      </c>
      <c r="B170" s="0" t="s">
        <v>30</v>
      </c>
      <c r="C170" s="0" t="s">
        <v>178</v>
      </c>
      <c r="D170" s="0" t="s">
        <v>281</v>
      </c>
      <c r="E170" s="0" t="s">
        <v>154</v>
      </c>
      <c r="F170" s="0" t="s">
        <v>698</v>
      </c>
      <c r="G170" s="0" t="s">
        <v>602</v>
      </c>
      <c r="H170" s="0">
        <v>12</v>
      </c>
      <c r="I170" s="0">
        <v>49</v>
      </c>
      <c r="J170" s="0">
        <v>2775</v>
      </c>
    </row>
    <row r="171">
      <c r="A171" s="0" t="s">
        <v>28</v>
      </c>
      <c r="B171" s="0" t="s">
        <v>30</v>
      </c>
      <c r="C171" s="0" t="s">
        <v>178</v>
      </c>
      <c r="D171" s="0" t="s">
        <v>281</v>
      </c>
      <c r="E171" s="0" t="s">
        <v>154</v>
      </c>
      <c r="F171" s="0" t="s">
        <v>699</v>
      </c>
      <c r="G171" s="0" t="s">
        <v>700</v>
      </c>
      <c r="H171" s="0">
        <v>12</v>
      </c>
      <c r="I171" s="0">
        <v>49</v>
      </c>
      <c r="J171" s="0">
        <v>2775</v>
      </c>
    </row>
    <row r="172">
      <c r="A172" s="0" t="s">
        <v>28</v>
      </c>
      <c r="B172" s="0" t="s">
        <v>30</v>
      </c>
      <c r="C172" s="0" t="s">
        <v>178</v>
      </c>
      <c r="D172" s="0" t="s">
        <v>281</v>
      </c>
      <c r="E172" s="0" t="s">
        <v>154</v>
      </c>
      <c r="F172" s="0" t="s">
        <v>701</v>
      </c>
      <c r="G172" s="0" t="s">
        <v>702</v>
      </c>
      <c r="H172" s="0">
        <v>12</v>
      </c>
      <c r="I172" s="0">
        <v>49</v>
      </c>
      <c r="J172" s="0">
        <v>2775</v>
      </c>
    </row>
    <row r="173">
      <c r="A173" s="0" t="s">
        <v>28</v>
      </c>
      <c r="B173" s="0" t="s">
        <v>30</v>
      </c>
      <c r="C173" s="0" t="s">
        <v>178</v>
      </c>
      <c r="D173" s="0" t="s">
        <v>281</v>
      </c>
      <c r="E173" s="0" t="s">
        <v>154</v>
      </c>
      <c r="F173" s="0" t="s">
        <v>703</v>
      </c>
      <c r="G173" s="0" t="s">
        <v>704</v>
      </c>
      <c r="H173" s="0">
        <v>12</v>
      </c>
      <c r="I173" s="0">
        <v>49</v>
      </c>
      <c r="J173" s="0">
        <v>2775</v>
      </c>
    </row>
    <row r="174">
      <c r="A174" s="0" t="s">
        <v>28</v>
      </c>
      <c r="B174" s="0" t="s">
        <v>30</v>
      </c>
      <c r="C174" s="0" t="s">
        <v>178</v>
      </c>
      <c r="D174" s="0" t="s">
        <v>281</v>
      </c>
      <c r="E174" s="0" t="s">
        <v>154</v>
      </c>
      <c r="F174" s="0" t="s">
        <v>705</v>
      </c>
      <c r="G174" s="0" t="s">
        <v>337</v>
      </c>
      <c r="H174" s="0">
        <v>12</v>
      </c>
      <c r="I174" s="0">
        <v>49</v>
      </c>
      <c r="J174" s="0">
        <v>2775</v>
      </c>
    </row>
    <row r="175">
      <c r="A175" s="0" t="s">
        <v>28</v>
      </c>
      <c r="B175" s="0" t="s">
        <v>30</v>
      </c>
      <c r="C175" s="0" t="s">
        <v>178</v>
      </c>
      <c r="D175" s="0" t="s">
        <v>281</v>
      </c>
      <c r="E175" s="0" t="s">
        <v>154</v>
      </c>
      <c r="F175" s="0" t="s">
        <v>706</v>
      </c>
      <c r="G175" s="0" t="s">
        <v>707</v>
      </c>
      <c r="H175" s="0">
        <v>12</v>
      </c>
      <c r="I175" s="0">
        <v>49</v>
      </c>
      <c r="J175" s="0">
        <v>2775</v>
      </c>
    </row>
    <row r="176">
      <c r="A176" s="0" t="s">
        <v>28</v>
      </c>
      <c r="B176" s="0" t="s">
        <v>30</v>
      </c>
      <c r="C176" s="0" t="s">
        <v>178</v>
      </c>
      <c r="D176" s="0" t="s">
        <v>281</v>
      </c>
      <c r="E176" s="0" t="s">
        <v>154</v>
      </c>
      <c r="F176" s="0" t="s">
        <v>708</v>
      </c>
      <c r="G176" s="0" t="s">
        <v>709</v>
      </c>
      <c r="H176" s="0">
        <v>12</v>
      </c>
      <c r="I176" s="0">
        <v>49</v>
      </c>
      <c r="J176" s="0">
        <v>2775</v>
      </c>
    </row>
    <row r="177">
      <c r="A177" s="0" t="s">
        <v>28</v>
      </c>
      <c r="B177" s="0" t="s">
        <v>30</v>
      </c>
      <c r="C177" s="0" t="s">
        <v>180</v>
      </c>
      <c r="D177" s="0" t="s">
        <v>283</v>
      </c>
      <c r="E177" s="0" t="s">
        <v>154</v>
      </c>
      <c r="F177" s="0" t="s">
        <v>572</v>
      </c>
      <c r="G177" s="0" t="s">
        <v>573</v>
      </c>
      <c r="H177" s="0">
        <v>12</v>
      </c>
      <c r="I177" s="0">
        <v>50</v>
      </c>
      <c r="J177" s="0">
        <v>2784</v>
      </c>
    </row>
    <row r="178">
      <c r="A178" s="0" t="s">
        <v>28</v>
      </c>
      <c r="B178" s="0" t="s">
        <v>30</v>
      </c>
      <c r="C178" s="0" t="s">
        <v>180</v>
      </c>
      <c r="D178" s="0" t="s">
        <v>283</v>
      </c>
      <c r="E178" s="0" t="s">
        <v>154</v>
      </c>
      <c r="F178" s="0" t="s">
        <v>574</v>
      </c>
      <c r="G178" s="0" t="s">
        <v>341</v>
      </c>
      <c r="H178" s="0">
        <v>12</v>
      </c>
      <c r="I178" s="0">
        <v>50</v>
      </c>
      <c r="J178" s="0">
        <v>2784</v>
      </c>
    </row>
    <row r="179">
      <c r="A179" s="0" t="s">
        <v>28</v>
      </c>
      <c r="B179" s="0" t="s">
        <v>30</v>
      </c>
      <c r="C179" s="0" t="s">
        <v>180</v>
      </c>
      <c r="D179" s="0" t="s">
        <v>283</v>
      </c>
      <c r="E179" s="0" t="s">
        <v>154</v>
      </c>
      <c r="F179" s="0" t="s">
        <v>575</v>
      </c>
      <c r="G179" s="0" t="s">
        <v>355</v>
      </c>
      <c r="H179" s="0">
        <v>12</v>
      </c>
      <c r="I179" s="0">
        <v>50</v>
      </c>
      <c r="J179" s="0">
        <v>2784</v>
      </c>
    </row>
    <row r="180">
      <c r="A180" s="0" t="s">
        <v>28</v>
      </c>
      <c r="B180" s="0" t="s">
        <v>30</v>
      </c>
      <c r="C180" s="0" t="s">
        <v>180</v>
      </c>
      <c r="D180" s="0" t="s">
        <v>283</v>
      </c>
      <c r="E180" s="0" t="s">
        <v>154</v>
      </c>
      <c r="F180" s="0" t="s">
        <v>576</v>
      </c>
      <c r="G180" s="0" t="s">
        <v>718</v>
      </c>
      <c r="H180" s="0">
        <v>12</v>
      </c>
      <c r="I180" s="0">
        <v>50</v>
      </c>
      <c r="J180" s="0">
        <v>2784</v>
      </c>
    </row>
    <row r="181">
      <c r="A181" s="0" t="s">
        <v>28</v>
      </c>
      <c r="B181" s="0" t="s">
        <v>30</v>
      </c>
      <c r="C181" s="0" t="s">
        <v>180</v>
      </c>
      <c r="D181" s="0" t="s">
        <v>283</v>
      </c>
      <c r="E181" s="0" t="s">
        <v>154</v>
      </c>
      <c r="F181" s="0" t="s">
        <v>578</v>
      </c>
      <c r="G181" s="0" t="s">
        <v>719</v>
      </c>
      <c r="H181" s="0">
        <v>12</v>
      </c>
      <c r="I181" s="0">
        <v>50</v>
      </c>
      <c r="J181" s="0">
        <v>2784</v>
      </c>
    </row>
    <row r="182">
      <c r="A182" s="0" t="s">
        <v>28</v>
      </c>
      <c r="B182" s="0" t="s">
        <v>30</v>
      </c>
      <c r="C182" s="0" t="s">
        <v>180</v>
      </c>
      <c r="D182" s="0" t="s">
        <v>283</v>
      </c>
      <c r="E182" s="0" t="s">
        <v>154</v>
      </c>
      <c r="F182" s="0" t="s">
        <v>580</v>
      </c>
      <c r="G182" s="0" t="s">
        <v>720</v>
      </c>
      <c r="H182" s="0">
        <v>12</v>
      </c>
      <c r="I182" s="0">
        <v>50</v>
      </c>
      <c r="J182" s="0">
        <v>2784</v>
      </c>
    </row>
    <row r="183">
      <c r="A183" s="0" t="s">
        <v>28</v>
      </c>
      <c r="B183" s="0" t="s">
        <v>30</v>
      </c>
      <c r="C183" s="0" t="s">
        <v>180</v>
      </c>
      <c r="D183" s="0" t="s">
        <v>283</v>
      </c>
      <c r="E183" s="0" t="s">
        <v>154</v>
      </c>
      <c r="F183" s="0" t="s">
        <v>582</v>
      </c>
      <c r="G183" s="0" t="s">
        <v>721</v>
      </c>
      <c r="H183" s="0">
        <v>12</v>
      </c>
      <c r="I183" s="0">
        <v>50</v>
      </c>
      <c r="J183" s="0">
        <v>2784</v>
      </c>
    </row>
    <row r="184">
      <c r="A184" s="0" t="s">
        <v>28</v>
      </c>
      <c r="B184" s="0" t="s">
        <v>30</v>
      </c>
      <c r="C184" s="0" t="s">
        <v>180</v>
      </c>
      <c r="D184" s="0" t="s">
        <v>283</v>
      </c>
      <c r="E184" s="0" t="s">
        <v>154</v>
      </c>
      <c r="F184" s="0" t="s">
        <v>584</v>
      </c>
      <c r="G184" s="0" t="s">
        <v>722</v>
      </c>
      <c r="H184" s="0">
        <v>12</v>
      </c>
      <c r="I184" s="0">
        <v>50</v>
      </c>
      <c r="J184" s="0">
        <v>2784</v>
      </c>
    </row>
    <row r="185">
      <c r="A185" s="0" t="s">
        <v>28</v>
      </c>
      <c r="B185" s="0" t="s">
        <v>30</v>
      </c>
      <c r="C185" s="0" t="s">
        <v>180</v>
      </c>
      <c r="D185" s="0" t="s">
        <v>283</v>
      </c>
      <c r="E185" s="0" t="s">
        <v>154</v>
      </c>
      <c r="F185" s="0" t="s">
        <v>586</v>
      </c>
      <c r="G185" s="0" t="s">
        <v>587</v>
      </c>
      <c r="H185" s="0">
        <v>12</v>
      </c>
      <c r="I185" s="0">
        <v>50</v>
      </c>
      <c r="J185" s="0">
        <v>2784</v>
      </c>
    </row>
    <row r="186">
      <c r="A186" s="0" t="s">
        <v>28</v>
      </c>
      <c r="B186" s="0" t="s">
        <v>30</v>
      </c>
      <c r="C186" s="0" t="s">
        <v>180</v>
      </c>
      <c r="D186" s="0" t="s">
        <v>283</v>
      </c>
      <c r="E186" s="0" t="s">
        <v>154</v>
      </c>
      <c r="F186" s="0" t="s">
        <v>588</v>
      </c>
      <c r="G186" s="0" t="s">
        <v>723</v>
      </c>
      <c r="H186" s="0">
        <v>12</v>
      </c>
      <c r="I186" s="0">
        <v>50</v>
      </c>
      <c r="J186" s="0">
        <v>2784</v>
      </c>
    </row>
    <row r="187">
      <c r="A187" s="0" t="s">
        <v>28</v>
      </c>
      <c r="B187" s="0" t="s">
        <v>30</v>
      </c>
      <c r="C187" s="0" t="s">
        <v>180</v>
      </c>
      <c r="D187" s="0" t="s">
        <v>283</v>
      </c>
      <c r="E187" s="0" t="s">
        <v>154</v>
      </c>
      <c r="F187" s="0" t="s">
        <v>590</v>
      </c>
      <c r="G187" s="0" t="s">
        <v>724</v>
      </c>
      <c r="H187" s="0">
        <v>12</v>
      </c>
      <c r="I187" s="0">
        <v>50</v>
      </c>
      <c r="J187" s="0">
        <v>2784</v>
      </c>
    </row>
    <row r="188">
      <c r="A188" s="0" t="s">
        <v>28</v>
      </c>
      <c r="B188" s="0" t="s">
        <v>30</v>
      </c>
      <c r="C188" s="0" t="s">
        <v>180</v>
      </c>
      <c r="D188" s="0" t="s">
        <v>283</v>
      </c>
      <c r="E188" s="0" t="s">
        <v>154</v>
      </c>
      <c r="F188" s="0" t="s">
        <v>592</v>
      </c>
      <c r="G188" s="0" t="s">
        <v>498</v>
      </c>
      <c r="H188" s="0">
        <v>12</v>
      </c>
      <c r="I188" s="0">
        <v>50</v>
      </c>
      <c r="J188" s="0">
        <v>2784</v>
      </c>
    </row>
    <row r="189">
      <c r="A189" s="0" t="s">
        <v>28</v>
      </c>
      <c r="B189" s="0" t="s">
        <v>30</v>
      </c>
      <c r="C189" s="0" t="s">
        <v>180</v>
      </c>
      <c r="D189" s="0" t="s">
        <v>283</v>
      </c>
      <c r="E189" s="0" t="s">
        <v>154</v>
      </c>
      <c r="F189" s="0" t="s">
        <v>593</v>
      </c>
      <c r="G189" s="0" t="s">
        <v>725</v>
      </c>
      <c r="H189" s="0">
        <v>12</v>
      </c>
      <c r="I189" s="0">
        <v>50</v>
      </c>
      <c r="J189" s="0">
        <v>2784</v>
      </c>
    </row>
    <row r="190">
      <c r="A190" s="0" t="s">
        <v>28</v>
      </c>
      <c r="B190" s="0" t="s">
        <v>30</v>
      </c>
      <c r="C190" s="0" t="s">
        <v>180</v>
      </c>
      <c r="D190" s="0" t="s">
        <v>283</v>
      </c>
      <c r="E190" s="0" t="s">
        <v>154</v>
      </c>
      <c r="F190" s="0" t="s">
        <v>595</v>
      </c>
      <c r="G190" s="0" t="s">
        <v>726</v>
      </c>
      <c r="H190" s="0">
        <v>12</v>
      </c>
      <c r="I190" s="0">
        <v>50</v>
      </c>
      <c r="J190" s="0">
        <v>2784</v>
      </c>
    </row>
    <row r="191">
      <c r="A191" s="0" t="s">
        <v>28</v>
      </c>
      <c r="B191" s="0" t="s">
        <v>30</v>
      </c>
      <c r="C191" s="0" t="s">
        <v>180</v>
      </c>
      <c r="D191" s="0" t="s">
        <v>283</v>
      </c>
      <c r="E191" s="0" t="s">
        <v>154</v>
      </c>
      <c r="F191" s="0" t="s">
        <v>597</v>
      </c>
      <c r="G191" s="0" t="s">
        <v>727</v>
      </c>
      <c r="H191" s="0">
        <v>12</v>
      </c>
      <c r="I191" s="0">
        <v>50</v>
      </c>
      <c r="J191" s="0">
        <v>2784</v>
      </c>
    </row>
    <row r="192">
      <c r="A192" s="0" t="s">
        <v>28</v>
      </c>
      <c r="B192" s="0" t="s">
        <v>30</v>
      </c>
      <c r="C192" s="0" t="s">
        <v>180</v>
      </c>
      <c r="D192" s="0" t="s">
        <v>283</v>
      </c>
      <c r="E192" s="0" t="s">
        <v>154</v>
      </c>
      <c r="F192" s="0" t="s">
        <v>599</v>
      </c>
      <c r="G192" s="0" t="s">
        <v>600</v>
      </c>
      <c r="H192" s="0">
        <v>12</v>
      </c>
      <c r="I192" s="0">
        <v>50</v>
      </c>
      <c r="J192" s="0">
        <v>2784</v>
      </c>
    </row>
    <row r="193">
      <c r="A193" s="0" t="s">
        <v>28</v>
      </c>
      <c r="B193" s="0" t="s">
        <v>30</v>
      </c>
      <c r="C193" s="0" t="s">
        <v>180</v>
      </c>
      <c r="D193" s="0" t="s">
        <v>283</v>
      </c>
      <c r="E193" s="0" t="s">
        <v>154</v>
      </c>
      <c r="F193" s="0" t="s">
        <v>601</v>
      </c>
      <c r="G193" s="0" t="s">
        <v>602</v>
      </c>
      <c r="H193" s="0">
        <v>12</v>
      </c>
      <c r="I193" s="0">
        <v>50</v>
      </c>
      <c r="J193" s="0">
        <v>2784</v>
      </c>
    </row>
    <row r="194">
      <c r="A194" s="0" t="s">
        <v>28</v>
      </c>
      <c r="B194" s="0" t="s">
        <v>30</v>
      </c>
      <c r="C194" s="0" t="s">
        <v>180</v>
      </c>
      <c r="D194" s="0" t="s">
        <v>283</v>
      </c>
      <c r="E194" s="0" t="s">
        <v>154</v>
      </c>
      <c r="F194" s="0" t="s">
        <v>603</v>
      </c>
      <c r="G194" s="0" t="s">
        <v>728</v>
      </c>
      <c r="H194" s="0">
        <v>12</v>
      </c>
      <c r="I194" s="0">
        <v>50</v>
      </c>
      <c r="J194" s="0">
        <v>2784</v>
      </c>
    </row>
    <row r="195">
      <c r="A195" s="0" t="s">
        <v>28</v>
      </c>
      <c r="B195" s="0" t="s">
        <v>30</v>
      </c>
      <c r="C195" s="0" t="s">
        <v>180</v>
      </c>
      <c r="D195" s="0" t="s">
        <v>283</v>
      </c>
      <c r="E195" s="0" t="s">
        <v>154</v>
      </c>
      <c r="F195" s="0" t="s">
        <v>605</v>
      </c>
      <c r="G195" s="0" t="s">
        <v>114</v>
      </c>
      <c r="H195" s="0">
        <v>12</v>
      </c>
      <c r="I195" s="0">
        <v>50</v>
      </c>
      <c r="J195" s="0">
        <v>2784</v>
      </c>
    </row>
    <row r="196">
      <c r="A196" s="0" t="s">
        <v>28</v>
      </c>
      <c r="B196" s="0" t="s">
        <v>30</v>
      </c>
      <c r="C196" s="0" t="s">
        <v>180</v>
      </c>
      <c r="D196" s="0" t="s">
        <v>283</v>
      </c>
      <c r="E196" s="0" t="s">
        <v>154</v>
      </c>
      <c r="F196" s="0" t="s">
        <v>606</v>
      </c>
      <c r="G196" s="0" t="s">
        <v>607</v>
      </c>
      <c r="H196" s="0">
        <v>12</v>
      </c>
      <c r="I196" s="0">
        <v>50</v>
      </c>
      <c r="J196" s="0">
        <v>2784</v>
      </c>
    </row>
    <row r="197">
      <c r="A197" s="0" t="s">
        <v>28</v>
      </c>
      <c r="B197" s="0" t="s">
        <v>30</v>
      </c>
      <c r="C197" s="0" t="s">
        <v>180</v>
      </c>
      <c r="D197" s="0" t="s">
        <v>283</v>
      </c>
      <c r="E197" s="0" t="s">
        <v>154</v>
      </c>
      <c r="F197" s="0" t="s">
        <v>608</v>
      </c>
      <c r="G197" s="0" t="s">
        <v>727</v>
      </c>
      <c r="H197" s="0">
        <v>12</v>
      </c>
      <c r="I197" s="0">
        <v>50</v>
      </c>
      <c r="J197" s="0">
        <v>2784</v>
      </c>
    </row>
    <row r="198">
      <c r="A198" s="0" t="s">
        <v>28</v>
      </c>
      <c r="B198" s="0" t="s">
        <v>30</v>
      </c>
      <c r="C198" s="0" t="s">
        <v>180</v>
      </c>
      <c r="D198" s="0" t="s">
        <v>283</v>
      </c>
      <c r="E198" s="0" t="s">
        <v>154</v>
      </c>
      <c r="F198" s="0" t="s">
        <v>609</v>
      </c>
      <c r="G198" s="0" t="s">
        <v>341</v>
      </c>
      <c r="H198" s="0">
        <v>12</v>
      </c>
      <c r="I198" s="0">
        <v>50</v>
      </c>
      <c r="J198" s="0">
        <v>2784</v>
      </c>
    </row>
    <row r="199">
      <c r="A199" s="0" t="s">
        <v>28</v>
      </c>
      <c r="B199" s="0" t="s">
        <v>30</v>
      </c>
      <c r="C199" s="0" t="s">
        <v>180</v>
      </c>
      <c r="D199" s="0" t="s">
        <v>283</v>
      </c>
      <c r="E199" s="0" t="s">
        <v>154</v>
      </c>
      <c r="F199" s="0" t="s">
        <v>610</v>
      </c>
      <c r="G199" s="0" t="s">
        <v>729</v>
      </c>
      <c r="H199" s="0">
        <v>12</v>
      </c>
      <c r="I199" s="0">
        <v>50</v>
      </c>
      <c r="J199" s="0">
        <v>2784</v>
      </c>
    </row>
    <row r="200">
      <c r="A200" s="0" t="s">
        <v>28</v>
      </c>
      <c r="B200" s="0" t="s">
        <v>30</v>
      </c>
      <c r="C200" s="0" t="s">
        <v>180</v>
      </c>
      <c r="D200" s="0" t="s">
        <v>283</v>
      </c>
      <c r="E200" s="0" t="s">
        <v>154</v>
      </c>
      <c r="F200" s="0" t="s">
        <v>612</v>
      </c>
      <c r="G200" s="0" t="s">
        <v>730</v>
      </c>
      <c r="H200" s="0">
        <v>12</v>
      </c>
      <c r="I200" s="0">
        <v>50</v>
      </c>
      <c r="J200" s="0">
        <v>2784</v>
      </c>
    </row>
    <row r="201">
      <c r="A201" s="0" t="s">
        <v>28</v>
      </c>
      <c r="B201" s="0" t="s">
        <v>30</v>
      </c>
      <c r="C201" s="0" t="s">
        <v>180</v>
      </c>
      <c r="D201" s="0" t="s">
        <v>283</v>
      </c>
      <c r="E201" s="0" t="s">
        <v>154</v>
      </c>
      <c r="F201" s="0" t="s">
        <v>614</v>
      </c>
      <c r="G201" s="0" t="s">
        <v>731</v>
      </c>
      <c r="H201" s="0">
        <v>12</v>
      </c>
      <c r="I201" s="0">
        <v>50</v>
      </c>
      <c r="J201" s="0">
        <v>2784</v>
      </c>
    </row>
    <row r="202">
      <c r="A202" s="0" t="s">
        <v>28</v>
      </c>
      <c r="B202" s="0" t="s">
        <v>30</v>
      </c>
      <c r="C202" s="0" t="s">
        <v>180</v>
      </c>
      <c r="D202" s="0" t="s">
        <v>283</v>
      </c>
      <c r="E202" s="0" t="s">
        <v>154</v>
      </c>
      <c r="F202" s="0" t="s">
        <v>616</v>
      </c>
      <c r="G202" s="0" t="s">
        <v>732</v>
      </c>
      <c r="H202" s="0">
        <v>12</v>
      </c>
      <c r="I202" s="0">
        <v>50</v>
      </c>
      <c r="J202" s="0">
        <v>2784</v>
      </c>
    </row>
    <row r="203">
      <c r="A203" s="0" t="s">
        <v>28</v>
      </c>
      <c r="B203" s="0" t="s">
        <v>30</v>
      </c>
      <c r="C203" s="0" t="s">
        <v>180</v>
      </c>
      <c r="D203" s="0" t="s">
        <v>283</v>
      </c>
      <c r="E203" s="0" t="s">
        <v>154</v>
      </c>
      <c r="F203" s="0" t="s">
        <v>618</v>
      </c>
      <c r="G203" s="0" t="s">
        <v>602</v>
      </c>
      <c r="H203" s="0">
        <v>12</v>
      </c>
      <c r="I203" s="0">
        <v>50</v>
      </c>
      <c r="J203" s="0">
        <v>2784</v>
      </c>
    </row>
    <row r="204">
      <c r="A204" s="0" t="s">
        <v>28</v>
      </c>
      <c r="B204" s="0" t="s">
        <v>30</v>
      </c>
      <c r="C204" s="0" t="s">
        <v>180</v>
      </c>
      <c r="D204" s="0" t="s">
        <v>283</v>
      </c>
      <c r="E204" s="0" t="s">
        <v>154</v>
      </c>
      <c r="F204" s="0" t="s">
        <v>619</v>
      </c>
      <c r="G204" s="0" t="s">
        <v>539</v>
      </c>
      <c r="H204" s="0">
        <v>12</v>
      </c>
      <c r="I204" s="0">
        <v>50</v>
      </c>
      <c r="J204" s="0">
        <v>2784</v>
      </c>
    </row>
    <row r="205">
      <c r="A205" s="0" t="s">
        <v>28</v>
      </c>
      <c r="B205" s="0" t="s">
        <v>30</v>
      </c>
      <c r="C205" s="0" t="s">
        <v>180</v>
      </c>
      <c r="D205" s="0" t="s">
        <v>283</v>
      </c>
      <c r="E205" s="0" t="s">
        <v>154</v>
      </c>
      <c r="F205" s="0" t="s">
        <v>620</v>
      </c>
      <c r="G205" s="0" t="s">
        <v>114</v>
      </c>
      <c r="H205" s="0">
        <v>12</v>
      </c>
      <c r="I205" s="0">
        <v>50</v>
      </c>
      <c r="J205" s="0">
        <v>2784</v>
      </c>
    </row>
    <row r="206">
      <c r="A206" s="0" t="s">
        <v>28</v>
      </c>
      <c r="B206" s="0" t="s">
        <v>30</v>
      </c>
      <c r="C206" s="0" t="s">
        <v>180</v>
      </c>
      <c r="D206" s="0" t="s">
        <v>283</v>
      </c>
      <c r="E206" s="0" t="s">
        <v>154</v>
      </c>
      <c r="F206" s="0" t="s">
        <v>621</v>
      </c>
      <c r="G206" s="0" t="s">
        <v>733</v>
      </c>
      <c r="H206" s="0">
        <v>12</v>
      </c>
      <c r="I206" s="0">
        <v>50</v>
      </c>
      <c r="J206" s="0">
        <v>2784</v>
      </c>
    </row>
    <row r="207">
      <c r="A207" s="0" t="s">
        <v>28</v>
      </c>
      <c r="B207" s="0" t="s">
        <v>30</v>
      </c>
      <c r="C207" s="0" t="s">
        <v>180</v>
      </c>
      <c r="D207" s="0" t="s">
        <v>283</v>
      </c>
      <c r="E207" s="0" t="s">
        <v>154</v>
      </c>
      <c r="F207" s="0" t="s">
        <v>623</v>
      </c>
      <c r="G207" s="0" t="s">
        <v>734</v>
      </c>
      <c r="H207" s="0">
        <v>12</v>
      </c>
      <c r="I207" s="0">
        <v>50</v>
      </c>
      <c r="J207" s="0">
        <v>2784</v>
      </c>
    </row>
    <row r="208">
      <c r="A208" s="0" t="s">
        <v>28</v>
      </c>
      <c r="B208" s="0" t="s">
        <v>30</v>
      </c>
      <c r="C208" s="0" t="s">
        <v>180</v>
      </c>
      <c r="D208" s="0" t="s">
        <v>283</v>
      </c>
      <c r="E208" s="0" t="s">
        <v>154</v>
      </c>
      <c r="F208" s="0" t="s">
        <v>625</v>
      </c>
      <c r="G208" s="0" t="s">
        <v>735</v>
      </c>
      <c r="H208" s="0">
        <v>12</v>
      </c>
      <c r="I208" s="0">
        <v>50</v>
      </c>
      <c r="J208" s="0">
        <v>2784</v>
      </c>
    </row>
    <row r="209">
      <c r="A209" s="0" t="s">
        <v>28</v>
      </c>
      <c r="B209" s="0" t="s">
        <v>30</v>
      </c>
      <c r="C209" s="0" t="s">
        <v>180</v>
      </c>
      <c r="D209" s="0" t="s">
        <v>283</v>
      </c>
      <c r="E209" s="0" t="s">
        <v>154</v>
      </c>
      <c r="F209" s="0" t="s">
        <v>627</v>
      </c>
      <c r="G209" s="0" t="s">
        <v>628</v>
      </c>
      <c r="H209" s="0">
        <v>12</v>
      </c>
      <c r="I209" s="0">
        <v>50</v>
      </c>
      <c r="J209" s="0">
        <v>2784</v>
      </c>
    </row>
    <row r="210">
      <c r="A210" s="0" t="s">
        <v>28</v>
      </c>
      <c r="B210" s="0" t="s">
        <v>30</v>
      </c>
      <c r="C210" s="0" t="s">
        <v>180</v>
      </c>
      <c r="D210" s="0" t="s">
        <v>283</v>
      </c>
      <c r="E210" s="0" t="s">
        <v>154</v>
      </c>
      <c r="F210" s="0" t="s">
        <v>629</v>
      </c>
      <c r="G210" s="0" t="s">
        <v>630</v>
      </c>
      <c r="H210" s="0">
        <v>12</v>
      </c>
      <c r="I210" s="0">
        <v>50</v>
      </c>
      <c r="J210" s="0">
        <v>2784</v>
      </c>
    </row>
    <row r="211">
      <c r="A211" s="0" t="s">
        <v>28</v>
      </c>
      <c r="B211" s="0" t="s">
        <v>30</v>
      </c>
      <c r="C211" s="0" t="s">
        <v>180</v>
      </c>
      <c r="D211" s="0" t="s">
        <v>283</v>
      </c>
      <c r="E211" s="0" t="s">
        <v>154</v>
      </c>
      <c r="F211" s="0" t="s">
        <v>631</v>
      </c>
      <c r="G211" s="0" t="s">
        <v>540</v>
      </c>
      <c r="H211" s="0">
        <v>12</v>
      </c>
      <c r="I211" s="0">
        <v>50</v>
      </c>
      <c r="J211" s="0">
        <v>2784</v>
      </c>
    </row>
    <row r="212">
      <c r="A212" s="0" t="s">
        <v>28</v>
      </c>
      <c r="B212" s="0" t="s">
        <v>30</v>
      </c>
      <c r="C212" s="0" t="s">
        <v>180</v>
      </c>
      <c r="D212" s="0" t="s">
        <v>283</v>
      </c>
      <c r="E212" s="0" t="s">
        <v>154</v>
      </c>
      <c r="F212" s="0" t="s">
        <v>632</v>
      </c>
      <c r="G212" s="0" t="s">
        <v>284</v>
      </c>
      <c r="H212" s="0">
        <v>12</v>
      </c>
      <c r="I212" s="0">
        <v>50</v>
      </c>
      <c r="J212" s="0">
        <v>2784</v>
      </c>
    </row>
    <row r="213">
      <c r="A213" s="0" t="s">
        <v>28</v>
      </c>
      <c r="B213" s="0" t="s">
        <v>30</v>
      </c>
      <c r="C213" s="0" t="s">
        <v>180</v>
      </c>
      <c r="D213" s="0" t="s">
        <v>283</v>
      </c>
      <c r="E213" s="0" t="s">
        <v>154</v>
      </c>
      <c r="F213" s="0" t="s">
        <v>633</v>
      </c>
      <c r="G213" s="0" t="s">
        <v>634</v>
      </c>
      <c r="H213" s="0">
        <v>12</v>
      </c>
      <c r="I213" s="0">
        <v>50</v>
      </c>
      <c r="J213" s="0">
        <v>2784</v>
      </c>
    </row>
    <row r="214">
      <c r="A214" s="0" t="s">
        <v>28</v>
      </c>
      <c r="B214" s="0" t="s">
        <v>30</v>
      </c>
      <c r="C214" s="0" t="s">
        <v>180</v>
      </c>
      <c r="D214" s="0" t="s">
        <v>283</v>
      </c>
      <c r="E214" s="0" t="s">
        <v>154</v>
      </c>
      <c r="F214" s="0" t="s">
        <v>635</v>
      </c>
      <c r="G214" s="0" t="s">
        <v>634</v>
      </c>
      <c r="H214" s="0">
        <v>12</v>
      </c>
      <c r="I214" s="0">
        <v>50</v>
      </c>
      <c r="J214" s="0">
        <v>2784</v>
      </c>
    </row>
    <row r="215">
      <c r="A215" s="0" t="s">
        <v>28</v>
      </c>
      <c r="B215" s="0" t="s">
        <v>30</v>
      </c>
      <c r="C215" s="0" t="s">
        <v>180</v>
      </c>
      <c r="D215" s="0" t="s">
        <v>283</v>
      </c>
      <c r="E215" s="0" t="s">
        <v>154</v>
      </c>
      <c r="F215" s="0" t="s">
        <v>636</v>
      </c>
      <c r="G215" s="0" t="s">
        <v>114</v>
      </c>
      <c r="H215" s="0">
        <v>12</v>
      </c>
      <c r="I215" s="0">
        <v>50</v>
      </c>
      <c r="J215" s="0">
        <v>2784</v>
      </c>
    </row>
    <row r="216">
      <c r="A216" s="0" t="s">
        <v>28</v>
      </c>
      <c r="B216" s="0" t="s">
        <v>30</v>
      </c>
      <c r="C216" s="0" t="s">
        <v>180</v>
      </c>
      <c r="D216" s="0" t="s">
        <v>283</v>
      </c>
      <c r="E216" s="0" t="s">
        <v>154</v>
      </c>
      <c r="F216" s="0" t="s">
        <v>637</v>
      </c>
      <c r="G216" s="0" t="s">
        <v>607</v>
      </c>
      <c r="H216" s="0">
        <v>12</v>
      </c>
      <c r="I216" s="0">
        <v>50</v>
      </c>
      <c r="J216" s="0">
        <v>2784</v>
      </c>
    </row>
    <row r="217">
      <c r="A217" s="0" t="s">
        <v>28</v>
      </c>
      <c r="B217" s="0" t="s">
        <v>30</v>
      </c>
      <c r="C217" s="0" t="s">
        <v>180</v>
      </c>
      <c r="D217" s="0" t="s">
        <v>283</v>
      </c>
      <c r="E217" s="0" t="s">
        <v>154</v>
      </c>
      <c r="F217" s="0" t="s">
        <v>638</v>
      </c>
      <c r="G217" s="0" t="s">
        <v>736</v>
      </c>
      <c r="H217" s="0">
        <v>12</v>
      </c>
      <c r="I217" s="0">
        <v>50</v>
      </c>
      <c r="J217" s="0">
        <v>2784</v>
      </c>
    </row>
    <row r="218">
      <c r="A218" s="0" t="s">
        <v>28</v>
      </c>
      <c r="B218" s="0" t="s">
        <v>30</v>
      </c>
      <c r="C218" s="0" t="s">
        <v>180</v>
      </c>
      <c r="D218" s="0" t="s">
        <v>283</v>
      </c>
      <c r="E218" s="0" t="s">
        <v>154</v>
      </c>
      <c r="F218" s="0" t="s">
        <v>640</v>
      </c>
      <c r="G218" s="0" t="s">
        <v>114</v>
      </c>
      <c r="H218" s="0">
        <v>12</v>
      </c>
      <c r="I218" s="0">
        <v>50</v>
      </c>
      <c r="J218" s="0">
        <v>2784</v>
      </c>
    </row>
    <row r="219">
      <c r="A219" s="0" t="s">
        <v>28</v>
      </c>
      <c r="B219" s="0" t="s">
        <v>30</v>
      </c>
      <c r="C219" s="0" t="s">
        <v>180</v>
      </c>
      <c r="D219" s="0" t="s">
        <v>283</v>
      </c>
      <c r="E219" s="0" t="s">
        <v>154</v>
      </c>
      <c r="F219" s="0" t="s">
        <v>641</v>
      </c>
      <c r="G219" s="0" t="s">
        <v>737</v>
      </c>
      <c r="H219" s="0">
        <v>12</v>
      </c>
      <c r="I219" s="0">
        <v>50</v>
      </c>
      <c r="J219" s="0">
        <v>2784</v>
      </c>
    </row>
    <row r="220">
      <c r="A220" s="0" t="s">
        <v>28</v>
      </c>
      <c r="B220" s="0" t="s">
        <v>30</v>
      </c>
      <c r="C220" s="0" t="s">
        <v>180</v>
      </c>
      <c r="D220" s="0" t="s">
        <v>283</v>
      </c>
      <c r="E220" s="0" t="s">
        <v>154</v>
      </c>
      <c r="F220" s="0" t="s">
        <v>643</v>
      </c>
      <c r="G220" s="0" t="s">
        <v>114</v>
      </c>
      <c r="H220" s="0">
        <v>12</v>
      </c>
      <c r="I220" s="0">
        <v>50</v>
      </c>
      <c r="J220" s="0">
        <v>2784</v>
      </c>
    </row>
    <row r="221">
      <c r="A221" s="0" t="s">
        <v>28</v>
      </c>
      <c r="B221" s="0" t="s">
        <v>30</v>
      </c>
      <c r="C221" s="0" t="s">
        <v>180</v>
      </c>
      <c r="D221" s="0" t="s">
        <v>283</v>
      </c>
      <c r="E221" s="0" t="s">
        <v>154</v>
      </c>
      <c r="F221" s="0" t="s">
        <v>644</v>
      </c>
      <c r="G221" s="0" t="s">
        <v>341</v>
      </c>
      <c r="H221" s="0">
        <v>12</v>
      </c>
      <c r="I221" s="0">
        <v>50</v>
      </c>
      <c r="J221" s="0">
        <v>2784</v>
      </c>
    </row>
    <row r="222">
      <c r="A222" s="0" t="s">
        <v>28</v>
      </c>
      <c r="B222" s="0" t="s">
        <v>30</v>
      </c>
      <c r="C222" s="0" t="s">
        <v>180</v>
      </c>
      <c r="D222" s="0" t="s">
        <v>283</v>
      </c>
      <c r="E222" s="0" t="s">
        <v>154</v>
      </c>
      <c r="F222" s="0" t="s">
        <v>645</v>
      </c>
      <c r="G222" s="0" t="s">
        <v>646</v>
      </c>
      <c r="H222" s="0">
        <v>12</v>
      </c>
      <c r="I222" s="0">
        <v>50</v>
      </c>
      <c r="J222" s="0">
        <v>2784</v>
      </c>
    </row>
    <row r="223">
      <c r="A223" s="0" t="s">
        <v>28</v>
      </c>
      <c r="B223" s="0" t="s">
        <v>30</v>
      </c>
      <c r="C223" s="0" t="s">
        <v>180</v>
      </c>
      <c r="D223" s="0" t="s">
        <v>283</v>
      </c>
      <c r="E223" s="0" t="s">
        <v>154</v>
      </c>
      <c r="F223" s="0" t="s">
        <v>647</v>
      </c>
      <c r="G223" s="0" t="s">
        <v>648</v>
      </c>
      <c r="H223" s="0">
        <v>12</v>
      </c>
      <c r="I223" s="0">
        <v>50</v>
      </c>
      <c r="J223" s="0">
        <v>2784</v>
      </c>
    </row>
    <row r="224">
      <c r="A224" s="0" t="s">
        <v>28</v>
      </c>
      <c r="B224" s="0" t="s">
        <v>30</v>
      </c>
      <c r="C224" s="0" t="s">
        <v>180</v>
      </c>
      <c r="D224" s="0" t="s">
        <v>283</v>
      </c>
      <c r="E224" s="0" t="s">
        <v>154</v>
      </c>
      <c r="F224" s="0" t="s">
        <v>649</v>
      </c>
      <c r="G224" s="0" t="s">
        <v>269</v>
      </c>
      <c r="H224" s="0">
        <v>12</v>
      </c>
      <c r="I224" s="0">
        <v>50</v>
      </c>
      <c r="J224" s="0">
        <v>2784</v>
      </c>
    </row>
    <row r="225">
      <c r="A225" s="0" t="s">
        <v>28</v>
      </c>
      <c r="B225" s="0" t="s">
        <v>30</v>
      </c>
      <c r="C225" s="0" t="s">
        <v>180</v>
      </c>
      <c r="D225" s="0" t="s">
        <v>283</v>
      </c>
      <c r="E225" s="0" t="s">
        <v>154</v>
      </c>
      <c r="F225" s="0" t="s">
        <v>650</v>
      </c>
      <c r="G225" s="0" t="s">
        <v>651</v>
      </c>
      <c r="H225" s="0">
        <v>12</v>
      </c>
      <c r="I225" s="0">
        <v>50</v>
      </c>
      <c r="J225" s="0">
        <v>2784</v>
      </c>
    </row>
    <row r="226">
      <c r="A226" s="0" t="s">
        <v>28</v>
      </c>
      <c r="B226" s="0" t="s">
        <v>30</v>
      </c>
      <c r="C226" s="0" t="s">
        <v>180</v>
      </c>
      <c r="D226" s="0" t="s">
        <v>283</v>
      </c>
      <c r="E226" s="0" t="s">
        <v>154</v>
      </c>
      <c r="F226" s="0" t="s">
        <v>652</v>
      </c>
      <c r="G226" s="0" t="s">
        <v>738</v>
      </c>
      <c r="H226" s="0">
        <v>12</v>
      </c>
      <c r="I226" s="0">
        <v>50</v>
      </c>
      <c r="J226" s="0">
        <v>2784</v>
      </c>
    </row>
    <row r="227">
      <c r="A227" s="0" t="s">
        <v>28</v>
      </c>
      <c r="B227" s="0" t="s">
        <v>30</v>
      </c>
      <c r="C227" s="0" t="s">
        <v>180</v>
      </c>
      <c r="D227" s="0" t="s">
        <v>283</v>
      </c>
      <c r="E227" s="0" t="s">
        <v>154</v>
      </c>
      <c r="F227" s="0" t="s">
        <v>654</v>
      </c>
      <c r="G227" s="0" t="s">
        <v>655</v>
      </c>
      <c r="H227" s="0">
        <v>12</v>
      </c>
      <c r="I227" s="0">
        <v>50</v>
      </c>
      <c r="J227" s="0">
        <v>2784</v>
      </c>
    </row>
    <row r="228">
      <c r="A228" s="0" t="s">
        <v>28</v>
      </c>
      <c r="B228" s="0" t="s">
        <v>30</v>
      </c>
      <c r="C228" s="0" t="s">
        <v>180</v>
      </c>
      <c r="D228" s="0" t="s">
        <v>283</v>
      </c>
      <c r="E228" s="0" t="s">
        <v>154</v>
      </c>
      <c r="F228" s="0" t="s">
        <v>656</v>
      </c>
      <c r="G228" s="0" t="s">
        <v>602</v>
      </c>
      <c r="H228" s="0">
        <v>12</v>
      </c>
      <c r="I228" s="0">
        <v>50</v>
      </c>
      <c r="J228" s="0">
        <v>2784</v>
      </c>
    </row>
    <row r="229">
      <c r="A229" s="0" t="s">
        <v>28</v>
      </c>
      <c r="B229" s="0" t="s">
        <v>30</v>
      </c>
      <c r="C229" s="0" t="s">
        <v>180</v>
      </c>
      <c r="D229" s="0" t="s">
        <v>283</v>
      </c>
      <c r="E229" s="0" t="s">
        <v>154</v>
      </c>
      <c r="F229" s="0" t="s">
        <v>657</v>
      </c>
      <c r="G229" s="0" t="s">
        <v>287</v>
      </c>
      <c r="H229" s="0">
        <v>12</v>
      </c>
      <c r="I229" s="0">
        <v>50</v>
      </c>
      <c r="J229" s="0">
        <v>2784</v>
      </c>
    </row>
    <row r="230">
      <c r="A230" s="0" t="s">
        <v>28</v>
      </c>
      <c r="B230" s="0" t="s">
        <v>30</v>
      </c>
      <c r="C230" s="0" t="s">
        <v>180</v>
      </c>
      <c r="D230" s="0" t="s">
        <v>283</v>
      </c>
      <c r="E230" s="0" t="s">
        <v>154</v>
      </c>
      <c r="F230" s="0" t="s">
        <v>658</v>
      </c>
      <c r="G230" s="0" t="s">
        <v>539</v>
      </c>
      <c r="H230" s="0">
        <v>12</v>
      </c>
      <c r="I230" s="0">
        <v>50</v>
      </c>
      <c r="J230" s="0">
        <v>2784</v>
      </c>
    </row>
    <row r="231">
      <c r="A231" s="0" t="s">
        <v>28</v>
      </c>
      <c r="B231" s="0" t="s">
        <v>30</v>
      </c>
      <c r="C231" s="0" t="s">
        <v>180</v>
      </c>
      <c r="D231" s="0" t="s">
        <v>283</v>
      </c>
      <c r="E231" s="0" t="s">
        <v>154</v>
      </c>
      <c r="F231" s="0" t="s">
        <v>659</v>
      </c>
      <c r="G231" s="0" t="s">
        <v>739</v>
      </c>
      <c r="H231" s="0">
        <v>12</v>
      </c>
      <c r="I231" s="0">
        <v>50</v>
      </c>
      <c r="J231" s="0">
        <v>2784</v>
      </c>
    </row>
    <row r="232">
      <c r="A232" s="0" t="s">
        <v>28</v>
      </c>
      <c r="B232" s="0" t="s">
        <v>30</v>
      </c>
      <c r="C232" s="0" t="s">
        <v>180</v>
      </c>
      <c r="D232" s="0" t="s">
        <v>283</v>
      </c>
      <c r="E232" s="0" t="s">
        <v>154</v>
      </c>
      <c r="F232" s="0" t="s">
        <v>661</v>
      </c>
      <c r="G232" s="0" t="s">
        <v>740</v>
      </c>
      <c r="H232" s="0">
        <v>12</v>
      </c>
      <c r="I232" s="0">
        <v>50</v>
      </c>
      <c r="J232" s="0">
        <v>2784</v>
      </c>
    </row>
    <row r="233">
      <c r="A233" s="0" t="s">
        <v>28</v>
      </c>
      <c r="B233" s="0" t="s">
        <v>30</v>
      </c>
      <c r="C233" s="0" t="s">
        <v>180</v>
      </c>
      <c r="D233" s="0" t="s">
        <v>283</v>
      </c>
      <c r="E233" s="0" t="s">
        <v>154</v>
      </c>
      <c r="F233" s="0" t="s">
        <v>741</v>
      </c>
      <c r="G233" s="0" t="s">
        <v>742</v>
      </c>
      <c r="H233" s="0">
        <v>12</v>
      </c>
      <c r="I233" s="0">
        <v>50</v>
      </c>
      <c r="J233" s="0">
        <v>2784</v>
      </c>
    </row>
    <row r="234">
      <c r="A234" s="0" t="s">
        <v>28</v>
      </c>
      <c r="B234" s="0" t="s">
        <v>30</v>
      </c>
      <c r="C234" s="0" t="s">
        <v>180</v>
      </c>
      <c r="D234" s="0" t="s">
        <v>283</v>
      </c>
      <c r="E234" s="0" t="s">
        <v>154</v>
      </c>
      <c r="F234" s="0" t="s">
        <v>743</v>
      </c>
      <c r="G234" s="0" t="s">
        <v>742</v>
      </c>
      <c r="H234" s="0">
        <v>12</v>
      </c>
      <c r="I234" s="0">
        <v>50</v>
      </c>
      <c r="J234" s="0">
        <v>2784</v>
      </c>
    </row>
    <row r="235">
      <c r="A235" s="0" t="s">
        <v>28</v>
      </c>
      <c r="B235" s="0" t="s">
        <v>30</v>
      </c>
      <c r="C235" s="0" t="s">
        <v>180</v>
      </c>
      <c r="D235" s="0" t="s">
        <v>283</v>
      </c>
      <c r="E235" s="0" t="s">
        <v>154</v>
      </c>
      <c r="F235" s="0" t="s">
        <v>663</v>
      </c>
      <c r="G235" s="0" t="s">
        <v>114</v>
      </c>
      <c r="H235" s="0">
        <v>12</v>
      </c>
      <c r="I235" s="0">
        <v>50</v>
      </c>
      <c r="J235" s="0">
        <v>2784</v>
      </c>
    </row>
    <row r="236">
      <c r="A236" s="0" t="s">
        <v>28</v>
      </c>
      <c r="B236" s="0" t="s">
        <v>30</v>
      </c>
      <c r="C236" s="0" t="s">
        <v>180</v>
      </c>
      <c r="D236" s="0" t="s">
        <v>283</v>
      </c>
      <c r="E236" s="0" t="s">
        <v>154</v>
      </c>
      <c r="F236" s="0" t="s">
        <v>664</v>
      </c>
      <c r="G236" s="0" t="s">
        <v>744</v>
      </c>
      <c r="H236" s="0">
        <v>12</v>
      </c>
      <c r="I236" s="0">
        <v>50</v>
      </c>
      <c r="J236" s="0">
        <v>2784</v>
      </c>
    </row>
    <row r="237">
      <c r="A237" s="0" t="s">
        <v>28</v>
      </c>
      <c r="B237" s="0" t="s">
        <v>30</v>
      </c>
      <c r="C237" s="0" t="s">
        <v>180</v>
      </c>
      <c r="D237" s="0" t="s">
        <v>283</v>
      </c>
      <c r="E237" s="0" t="s">
        <v>154</v>
      </c>
      <c r="F237" s="0" t="s">
        <v>666</v>
      </c>
      <c r="G237" s="0" t="s">
        <v>722</v>
      </c>
      <c r="H237" s="0">
        <v>12</v>
      </c>
      <c r="I237" s="0">
        <v>50</v>
      </c>
      <c r="J237" s="0">
        <v>2784</v>
      </c>
    </row>
    <row r="238">
      <c r="A238" s="0" t="s">
        <v>28</v>
      </c>
      <c r="B238" s="0" t="s">
        <v>30</v>
      </c>
      <c r="C238" s="0" t="s">
        <v>180</v>
      </c>
      <c r="D238" s="0" t="s">
        <v>283</v>
      </c>
      <c r="E238" s="0" t="s">
        <v>154</v>
      </c>
      <c r="F238" s="0" t="s">
        <v>667</v>
      </c>
      <c r="G238" s="0" t="s">
        <v>668</v>
      </c>
      <c r="H238" s="0">
        <v>12</v>
      </c>
      <c r="I238" s="0">
        <v>50</v>
      </c>
      <c r="J238" s="0">
        <v>2784</v>
      </c>
    </row>
    <row r="239">
      <c r="A239" s="0" t="s">
        <v>28</v>
      </c>
      <c r="B239" s="0" t="s">
        <v>30</v>
      </c>
      <c r="C239" s="0" t="s">
        <v>180</v>
      </c>
      <c r="D239" s="0" t="s">
        <v>283</v>
      </c>
      <c r="E239" s="0" t="s">
        <v>154</v>
      </c>
      <c r="F239" s="0" t="s">
        <v>669</v>
      </c>
      <c r="G239" s="0" t="s">
        <v>540</v>
      </c>
      <c r="H239" s="0">
        <v>12</v>
      </c>
      <c r="I239" s="0">
        <v>50</v>
      </c>
      <c r="J239" s="0">
        <v>2784</v>
      </c>
    </row>
    <row r="240">
      <c r="A240" s="0" t="s">
        <v>28</v>
      </c>
      <c r="B240" s="0" t="s">
        <v>30</v>
      </c>
      <c r="C240" s="0" t="s">
        <v>180</v>
      </c>
      <c r="D240" s="0" t="s">
        <v>283</v>
      </c>
      <c r="E240" s="0" t="s">
        <v>154</v>
      </c>
      <c r="F240" s="0" t="s">
        <v>670</v>
      </c>
      <c r="G240" s="0" t="s">
        <v>745</v>
      </c>
      <c r="H240" s="0">
        <v>12</v>
      </c>
      <c r="I240" s="0">
        <v>50</v>
      </c>
      <c r="J240" s="0">
        <v>2784</v>
      </c>
    </row>
    <row r="241">
      <c r="A241" s="0" t="s">
        <v>28</v>
      </c>
      <c r="B241" s="0" t="s">
        <v>30</v>
      </c>
      <c r="C241" s="0" t="s">
        <v>180</v>
      </c>
      <c r="D241" s="0" t="s">
        <v>283</v>
      </c>
      <c r="E241" s="0" t="s">
        <v>154</v>
      </c>
      <c r="F241" s="0" t="s">
        <v>672</v>
      </c>
      <c r="G241" s="0" t="s">
        <v>498</v>
      </c>
      <c r="H241" s="0">
        <v>12</v>
      </c>
      <c r="I241" s="0">
        <v>50</v>
      </c>
      <c r="J241" s="0">
        <v>2784</v>
      </c>
    </row>
    <row r="242">
      <c r="A242" s="0" t="s">
        <v>28</v>
      </c>
      <c r="B242" s="0" t="s">
        <v>30</v>
      </c>
      <c r="C242" s="0" t="s">
        <v>180</v>
      </c>
      <c r="D242" s="0" t="s">
        <v>283</v>
      </c>
      <c r="E242" s="0" t="s">
        <v>154</v>
      </c>
      <c r="F242" s="0" t="s">
        <v>673</v>
      </c>
      <c r="G242" s="0" t="s">
        <v>727</v>
      </c>
      <c r="H242" s="0">
        <v>12</v>
      </c>
      <c r="I242" s="0">
        <v>50</v>
      </c>
      <c r="J242" s="0">
        <v>2784</v>
      </c>
    </row>
    <row r="243">
      <c r="A243" s="0" t="s">
        <v>28</v>
      </c>
      <c r="B243" s="0" t="s">
        <v>30</v>
      </c>
      <c r="C243" s="0" t="s">
        <v>180</v>
      </c>
      <c r="D243" s="0" t="s">
        <v>283</v>
      </c>
      <c r="E243" s="0" t="s">
        <v>154</v>
      </c>
      <c r="F243" s="0" t="s">
        <v>674</v>
      </c>
      <c r="G243" s="0" t="s">
        <v>341</v>
      </c>
      <c r="H243" s="0">
        <v>12</v>
      </c>
      <c r="I243" s="0">
        <v>50</v>
      </c>
      <c r="J243" s="0">
        <v>2784</v>
      </c>
    </row>
    <row r="244">
      <c r="A244" s="0" t="s">
        <v>28</v>
      </c>
      <c r="B244" s="0" t="s">
        <v>30</v>
      </c>
      <c r="C244" s="0" t="s">
        <v>180</v>
      </c>
      <c r="D244" s="0" t="s">
        <v>283</v>
      </c>
      <c r="E244" s="0" t="s">
        <v>154</v>
      </c>
      <c r="F244" s="0" t="s">
        <v>675</v>
      </c>
      <c r="G244" s="0" t="s">
        <v>746</v>
      </c>
      <c r="H244" s="0">
        <v>12</v>
      </c>
      <c r="I244" s="0">
        <v>50</v>
      </c>
      <c r="J244" s="0">
        <v>2784</v>
      </c>
    </row>
    <row r="245">
      <c r="A245" s="0" t="s">
        <v>28</v>
      </c>
      <c r="B245" s="0" t="s">
        <v>30</v>
      </c>
      <c r="C245" s="0" t="s">
        <v>180</v>
      </c>
      <c r="D245" s="0" t="s">
        <v>283</v>
      </c>
      <c r="E245" s="0" t="s">
        <v>154</v>
      </c>
      <c r="F245" s="0" t="s">
        <v>677</v>
      </c>
      <c r="G245" s="0" t="s">
        <v>539</v>
      </c>
      <c r="H245" s="0">
        <v>12</v>
      </c>
      <c r="I245" s="0">
        <v>50</v>
      </c>
      <c r="J245" s="0">
        <v>2784</v>
      </c>
    </row>
    <row r="246">
      <c r="A246" s="0" t="s">
        <v>28</v>
      </c>
      <c r="B246" s="0" t="s">
        <v>30</v>
      </c>
      <c r="C246" s="0" t="s">
        <v>180</v>
      </c>
      <c r="D246" s="0" t="s">
        <v>283</v>
      </c>
      <c r="E246" s="0" t="s">
        <v>154</v>
      </c>
      <c r="F246" s="0" t="s">
        <v>678</v>
      </c>
      <c r="G246" s="0" t="s">
        <v>747</v>
      </c>
      <c r="H246" s="0">
        <v>12</v>
      </c>
      <c r="I246" s="0">
        <v>50</v>
      </c>
      <c r="J246" s="0">
        <v>2784</v>
      </c>
    </row>
    <row r="247">
      <c r="A247" s="0" t="s">
        <v>28</v>
      </c>
      <c r="B247" s="0" t="s">
        <v>30</v>
      </c>
      <c r="C247" s="0" t="s">
        <v>180</v>
      </c>
      <c r="D247" s="0" t="s">
        <v>283</v>
      </c>
      <c r="E247" s="0" t="s">
        <v>154</v>
      </c>
      <c r="F247" s="0" t="s">
        <v>680</v>
      </c>
      <c r="G247" s="0" t="s">
        <v>748</v>
      </c>
      <c r="H247" s="0">
        <v>12</v>
      </c>
      <c r="I247" s="0">
        <v>50</v>
      </c>
      <c r="J247" s="0">
        <v>2784</v>
      </c>
    </row>
    <row r="248">
      <c r="A248" s="0" t="s">
        <v>28</v>
      </c>
      <c r="B248" s="0" t="s">
        <v>30</v>
      </c>
      <c r="C248" s="0" t="s">
        <v>180</v>
      </c>
      <c r="D248" s="0" t="s">
        <v>283</v>
      </c>
      <c r="E248" s="0" t="s">
        <v>154</v>
      </c>
      <c r="F248" s="0" t="s">
        <v>682</v>
      </c>
      <c r="G248" s="0" t="s">
        <v>554</v>
      </c>
      <c r="H248" s="0">
        <v>12</v>
      </c>
      <c r="I248" s="0">
        <v>50</v>
      </c>
      <c r="J248" s="0">
        <v>2784</v>
      </c>
    </row>
    <row r="249">
      <c r="A249" s="0" t="s">
        <v>28</v>
      </c>
      <c r="B249" s="0" t="s">
        <v>30</v>
      </c>
      <c r="C249" s="0" t="s">
        <v>180</v>
      </c>
      <c r="D249" s="0" t="s">
        <v>283</v>
      </c>
      <c r="E249" s="0" t="s">
        <v>154</v>
      </c>
      <c r="F249" s="0" t="s">
        <v>683</v>
      </c>
      <c r="G249" s="0" t="s">
        <v>749</v>
      </c>
      <c r="H249" s="0">
        <v>12</v>
      </c>
      <c r="I249" s="0">
        <v>50</v>
      </c>
      <c r="J249" s="0">
        <v>2784</v>
      </c>
    </row>
    <row r="250">
      <c r="A250" s="0" t="s">
        <v>28</v>
      </c>
      <c r="B250" s="0" t="s">
        <v>30</v>
      </c>
      <c r="C250" s="0" t="s">
        <v>180</v>
      </c>
      <c r="D250" s="0" t="s">
        <v>283</v>
      </c>
      <c r="E250" s="0" t="s">
        <v>154</v>
      </c>
      <c r="F250" s="0" t="s">
        <v>685</v>
      </c>
      <c r="G250" s="0" t="s">
        <v>686</v>
      </c>
      <c r="H250" s="0">
        <v>12</v>
      </c>
      <c r="I250" s="0">
        <v>50</v>
      </c>
      <c r="J250" s="0">
        <v>2784</v>
      </c>
    </row>
    <row r="251">
      <c r="A251" s="0" t="s">
        <v>28</v>
      </c>
      <c r="B251" s="0" t="s">
        <v>30</v>
      </c>
      <c r="C251" s="0" t="s">
        <v>180</v>
      </c>
      <c r="D251" s="0" t="s">
        <v>283</v>
      </c>
      <c r="E251" s="0" t="s">
        <v>154</v>
      </c>
      <c r="F251" s="0" t="s">
        <v>687</v>
      </c>
      <c r="G251" s="0" t="s">
        <v>688</v>
      </c>
      <c r="H251" s="0">
        <v>12</v>
      </c>
      <c r="I251" s="0">
        <v>50</v>
      </c>
      <c r="J251" s="0">
        <v>2784</v>
      </c>
    </row>
    <row r="252">
      <c r="A252" s="0" t="s">
        <v>28</v>
      </c>
      <c r="B252" s="0" t="s">
        <v>30</v>
      </c>
      <c r="C252" s="0" t="s">
        <v>180</v>
      </c>
      <c r="D252" s="0" t="s">
        <v>283</v>
      </c>
      <c r="E252" s="0" t="s">
        <v>154</v>
      </c>
      <c r="F252" s="0" t="s">
        <v>689</v>
      </c>
      <c r="G252" s="0" t="s">
        <v>341</v>
      </c>
      <c r="H252" s="0">
        <v>12</v>
      </c>
      <c r="I252" s="0">
        <v>50</v>
      </c>
      <c r="J252" s="0">
        <v>2784</v>
      </c>
    </row>
    <row r="253">
      <c r="A253" s="0" t="s">
        <v>28</v>
      </c>
      <c r="B253" s="0" t="s">
        <v>30</v>
      </c>
      <c r="C253" s="0" t="s">
        <v>180</v>
      </c>
      <c r="D253" s="0" t="s">
        <v>283</v>
      </c>
      <c r="E253" s="0" t="s">
        <v>154</v>
      </c>
      <c r="F253" s="0" t="s">
        <v>690</v>
      </c>
      <c r="G253" s="0" t="s">
        <v>607</v>
      </c>
      <c r="H253" s="0">
        <v>12</v>
      </c>
      <c r="I253" s="0">
        <v>50</v>
      </c>
      <c r="J253" s="0">
        <v>2784</v>
      </c>
    </row>
    <row r="254">
      <c r="A254" s="0" t="s">
        <v>28</v>
      </c>
      <c r="B254" s="0" t="s">
        <v>30</v>
      </c>
      <c r="C254" s="0" t="s">
        <v>180</v>
      </c>
      <c r="D254" s="0" t="s">
        <v>283</v>
      </c>
      <c r="E254" s="0" t="s">
        <v>154</v>
      </c>
      <c r="F254" s="0" t="s">
        <v>691</v>
      </c>
      <c r="G254" s="0" t="s">
        <v>692</v>
      </c>
      <c r="H254" s="0">
        <v>12</v>
      </c>
      <c r="I254" s="0">
        <v>50</v>
      </c>
      <c r="J254" s="0">
        <v>2784</v>
      </c>
    </row>
    <row r="255">
      <c r="A255" s="0" t="s">
        <v>28</v>
      </c>
      <c r="B255" s="0" t="s">
        <v>30</v>
      </c>
      <c r="C255" s="0" t="s">
        <v>180</v>
      </c>
      <c r="D255" s="0" t="s">
        <v>283</v>
      </c>
      <c r="E255" s="0" t="s">
        <v>154</v>
      </c>
      <c r="F255" s="0" t="s">
        <v>693</v>
      </c>
      <c r="G255" s="0" t="s">
        <v>694</v>
      </c>
      <c r="H255" s="0">
        <v>12</v>
      </c>
      <c r="I255" s="0">
        <v>50</v>
      </c>
      <c r="J255" s="0">
        <v>2784</v>
      </c>
    </row>
    <row r="256">
      <c r="A256" s="0" t="s">
        <v>28</v>
      </c>
      <c r="B256" s="0" t="s">
        <v>30</v>
      </c>
      <c r="C256" s="0" t="s">
        <v>180</v>
      </c>
      <c r="D256" s="0" t="s">
        <v>283</v>
      </c>
      <c r="E256" s="0" t="s">
        <v>154</v>
      </c>
      <c r="F256" s="0" t="s">
        <v>695</v>
      </c>
      <c r="G256" s="0" t="s">
        <v>287</v>
      </c>
      <c r="H256" s="0">
        <v>12</v>
      </c>
      <c r="I256" s="0">
        <v>50</v>
      </c>
      <c r="J256" s="0">
        <v>2784</v>
      </c>
    </row>
    <row r="257">
      <c r="A257" s="0" t="s">
        <v>28</v>
      </c>
      <c r="B257" s="0" t="s">
        <v>30</v>
      </c>
      <c r="C257" s="0" t="s">
        <v>180</v>
      </c>
      <c r="D257" s="0" t="s">
        <v>283</v>
      </c>
      <c r="E257" s="0" t="s">
        <v>154</v>
      </c>
      <c r="F257" s="0" t="s">
        <v>696</v>
      </c>
      <c r="G257" s="0" t="s">
        <v>697</v>
      </c>
      <c r="H257" s="0">
        <v>12</v>
      </c>
      <c r="I257" s="0">
        <v>50</v>
      </c>
      <c r="J257" s="0">
        <v>2784</v>
      </c>
    </row>
    <row r="258">
      <c r="A258" s="0" t="s">
        <v>28</v>
      </c>
      <c r="B258" s="0" t="s">
        <v>30</v>
      </c>
      <c r="C258" s="0" t="s">
        <v>180</v>
      </c>
      <c r="D258" s="0" t="s">
        <v>283</v>
      </c>
      <c r="E258" s="0" t="s">
        <v>154</v>
      </c>
      <c r="F258" s="0" t="s">
        <v>698</v>
      </c>
      <c r="G258" s="0" t="s">
        <v>602</v>
      </c>
      <c r="H258" s="0">
        <v>12</v>
      </c>
      <c r="I258" s="0">
        <v>50</v>
      </c>
      <c r="J258" s="0">
        <v>2784</v>
      </c>
    </row>
    <row r="259">
      <c r="A259" s="0" t="s">
        <v>28</v>
      </c>
      <c r="B259" s="0" t="s">
        <v>30</v>
      </c>
      <c r="C259" s="0" t="s">
        <v>180</v>
      </c>
      <c r="D259" s="0" t="s">
        <v>283</v>
      </c>
      <c r="E259" s="0" t="s">
        <v>154</v>
      </c>
      <c r="F259" s="0" t="s">
        <v>699</v>
      </c>
      <c r="G259" s="0" t="s">
        <v>700</v>
      </c>
      <c r="H259" s="0">
        <v>12</v>
      </c>
      <c r="I259" s="0">
        <v>50</v>
      </c>
      <c r="J259" s="0">
        <v>2784</v>
      </c>
    </row>
    <row r="260">
      <c r="A260" s="0" t="s">
        <v>28</v>
      </c>
      <c r="B260" s="0" t="s">
        <v>30</v>
      </c>
      <c r="C260" s="0" t="s">
        <v>180</v>
      </c>
      <c r="D260" s="0" t="s">
        <v>283</v>
      </c>
      <c r="E260" s="0" t="s">
        <v>154</v>
      </c>
      <c r="F260" s="0" t="s">
        <v>701</v>
      </c>
      <c r="G260" s="0" t="s">
        <v>750</v>
      </c>
      <c r="H260" s="0">
        <v>12</v>
      </c>
      <c r="I260" s="0">
        <v>50</v>
      </c>
      <c r="J260" s="0">
        <v>2784</v>
      </c>
    </row>
    <row r="261">
      <c r="A261" s="0" t="s">
        <v>28</v>
      </c>
      <c r="B261" s="0" t="s">
        <v>30</v>
      </c>
      <c r="C261" s="0" t="s">
        <v>180</v>
      </c>
      <c r="D261" s="0" t="s">
        <v>283</v>
      </c>
      <c r="E261" s="0" t="s">
        <v>154</v>
      </c>
      <c r="F261" s="0" t="s">
        <v>703</v>
      </c>
      <c r="G261" s="0" t="s">
        <v>751</v>
      </c>
      <c r="H261" s="0">
        <v>12</v>
      </c>
      <c r="I261" s="0">
        <v>50</v>
      </c>
      <c r="J261" s="0">
        <v>2784</v>
      </c>
    </row>
    <row r="262">
      <c r="A262" s="0" t="s">
        <v>28</v>
      </c>
      <c r="B262" s="0" t="s">
        <v>30</v>
      </c>
      <c r="C262" s="0" t="s">
        <v>180</v>
      </c>
      <c r="D262" s="0" t="s">
        <v>283</v>
      </c>
      <c r="E262" s="0" t="s">
        <v>154</v>
      </c>
      <c r="F262" s="0" t="s">
        <v>705</v>
      </c>
      <c r="G262" s="0" t="s">
        <v>354</v>
      </c>
      <c r="H262" s="0">
        <v>12</v>
      </c>
      <c r="I262" s="0">
        <v>50</v>
      </c>
      <c r="J262" s="0">
        <v>2784</v>
      </c>
    </row>
    <row r="263">
      <c r="A263" s="0" t="s">
        <v>28</v>
      </c>
      <c r="B263" s="0" t="s">
        <v>30</v>
      </c>
      <c r="C263" s="0" t="s">
        <v>180</v>
      </c>
      <c r="D263" s="0" t="s">
        <v>283</v>
      </c>
      <c r="E263" s="0" t="s">
        <v>154</v>
      </c>
      <c r="F263" s="0" t="s">
        <v>752</v>
      </c>
      <c r="G263" s="0" t="s">
        <v>742</v>
      </c>
      <c r="H263" s="0">
        <v>12</v>
      </c>
      <c r="I263" s="0">
        <v>50</v>
      </c>
      <c r="J263" s="0">
        <v>2784</v>
      </c>
    </row>
    <row r="264">
      <c r="A264" s="0" t="s">
        <v>28</v>
      </c>
      <c r="B264" s="0" t="s">
        <v>30</v>
      </c>
      <c r="C264" s="0" t="s">
        <v>180</v>
      </c>
      <c r="D264" s="0" t="s">
        <v>283</v>
      </c>
      <c r="E264" s="0" t="s">
        <v>154</v>
      </c>
      <c r="F264" s="0" t="s">
        <v>753</v>
      </c>
      <c r="G264" s="0" t="s">
        <v>742</v>
      </c>
      <c r="H264" s="0">
        <v>12</v>
      </c>
      <c r="I264" s="0">
        <v>50</v>
      </c>
      <c r="J264" s="0">
        <v>2784</v>
      </c>
    </row>
    <row r="265">
      <c r="A265" s="0" t="s">
        <v>28</v>
      </c>
      <c r="B265" s="0" t="s">
        <v>30</v>
      </c>
      <c r="C265" s="0" t="s">
        <v>180</v>
      </c>
      <c r="D265" s="0" t="s">
        <v>283</v>
      </c>
      <c r="E265" s="0" t="s">
        <v>154</v>
      </c>
      <c r="F265" s="0" t="s">
        <v>706</v>
      </c>
      <c r="G265" s="0" t="s">
        <v>754</v>
      </c>
      <c r="H265" s="0">
        <v>12</v>
      </c>
      <c r="I265" s="0">
        <v>50</v>
      </c>
      <c r="J265" s="0">
        <v>2784</v>
      </c>
    </row>
    <row r="266">
      <c r="A266" s="0" t="s">
        <v>28</v>
      </c>
      <c r="B266" s="0" t="s">
        <v>30</v>
      </c>
      <c r="C266" s="0" t="s">
        <v>180</v>
      </c>
      <c r="D266" s="0" t="s">
        <v>283</v>
      </c>
      <c r="E266" s="0" t="s">
        <v>154</v>
      </c>
      <c r="F266" s="0" t="s">
        <v>708</v>
      </c>
      <c r="G266" s="0" t="s">
        <v>755</v>
      </c>
      <c r="H266" s="0">
        <v>12</v>
      </c>
      <c r="I266" s="0">
        <v>50</v>
      </c>
      <c r="J266" s="0">
        <v>2784</v>
      </c>
    </row>
    <row r="267">
      <c r="A267" s="0" t="s">
        <v>28</v>
      </c>
      <c r="B267" s="0" t="s">
        <v>30</v>
      </c>
      <c r="C267" s="0" t="s">
        <v>182</v>
      </c>
      <c r="D267" s="0" t="s">
        <v>289</v>
      </c>
      <c r="E267" s="0" t="s">
        <v>154</v>
      </c>
      <c r="F267" s="0" t="s">
        <v>572</v>
      </c>
      <c r="G267" s="0" t="s">
        <v>573</v>
      </c>
      <c r="H267" s="0">
        <v>12</v>
      </c>
      <c r="I267" s="0">
        <v>52</v>
      </c>
      <c r="J267" s="0">
        <v>2786</v>
      </c>
    </row>
    <row r="268">
      <c r="A268" s="0" t="s">
        <v>28</v>
      </c>
      <c r="B268" s="0" t="s">
        <v>30</v>
      </c>
      <c r="C268" s="0" t="s">
        <v>182</v>
      </c>
      <c r="D268" s="0" t="s">
        <v>289</v>
      </c>
      <c r="E268" s="0" t="s">
        <v>154</v>
      </c>
      <c r="F268" s="0" t="s">
        <v>574</v>
      </c>
      <c r="G268" s="0" t="s">
        <v>341</v>
      </c>
      <c r="H268" s="0">
        <v>12</v>
      </c>
      <c r="I268" s="0">
        <v>52</v>
      </c>
      <c r="J268" s="0">
        <v>2786</v>
      </c>
    </row>
    <row r="269">
      <c r="A269" s="0" t="s">
        <v>28</v>
      </c>
      <c r="B269" s="0" t="s">
        <v>30</v>
      </c>
      <c r="C269" s="0" t="s">
        <v>182</v>
      </c>
      <c r="D269" s="0" t="s">
        <v>289</v>
      </c>
      <c r="E269" s="0" t="s">
        <v>154</v>
      </c>
      <c r="F269" s="0" t="s">
        <v>575</v>
      </c>
      <c r="G269" s="0" t="s">
        <v>361</v>
      </c>
      <c r="H269" s="0">
        <v>12</v>
      </c>
      <c r="I269" s="0">
        <v>52</v>
      </c>
      <c r="J269" s="0">
        <v>2786</v>
      </c>
    </row>
    <row r="270">
      <c r="A270" s="0" t="s">
        <v>28</v>
      </c>
      <c r="B270" s="0" t="s">
        <v>30</v>
      </c>
      <c r="C270" s="0" t="s">
        <v>182</v>
      </c>
      <c r="D270" s="0" t="s">
        <v>289</v>
      </c>
      <c r="E270" s="0" t="s">
        <v>154</v>
      </c>
      <c r="F270" s="0" t="s">
        <v>576</v>
      </c>
      <c r="G270" s="0" t="s">
        <v>756</v>
      </c>
      <c r="H270" s="0">
        <v>12</v>
      </c>
      <c r="I270" s="0">
        <v>52</v>
      </c>
      <c r="J270" s="0">
        <v>2786</v>
      </c>
    </row>
    <row r="271">
      <c r="A271" s="0" t="s">
        <v>28</v>
      </c>
      <c r="B271" s="0" t="s">
        <v>30</v>
      </c>
      <c r="C271" s="0" t="s">
        <v>182</v>
      </c>
      <c r="D271" s="0" t="s">
        <v>289</v>
      </c>
      <c r="E271" s="0" t="s">
        <v>154</v>
      </c>
      <c r="F271" s="0" t="s">
        <v>578</v>
      </c>
      <c r="G271" s="0" t="s">
        <v>757</v>
      </c>
      <c r="H271" s="0">
        <v>12</v>
      </c>
      <c r="I271" s="0">
        <v>52</v>
      </c>
      <c r="J271" s="0">
        <v>2786</v>
      </c>
    </row>
    <row r="272">
      <c r="A272" s="0" t="s">
        <v>28</v>
      </c>
      <c r="B272" s="0" t="s">
        <v>30</v>
      </c>
      <c r="C272" s="0" t="s">
        <v>182</v>
      </c>
      <c r="D272" s="0" t="s">
        <v>289</v>
      </c>
      <c r="E272" s="0" t="s">
        <v>154</v>
      </c>
      <c r="F272" s="0" t="s">
        <v>580</v>
      </c>
      <c r="G272" s="0" t="s">
        <v>758</v>
      </c>
      <c r="H272" s="0">
        <v>12</v>
      </c>
      <c r="I272" s="0">
        <v>52</v>
      </c>
      <c r="J272" s="0">
        <v>2786</v>
      </c>
    </row>
    <row r="273">
      <c r="A273" s="0" t="s">
        <v>28</v>
      </c>
      <c r="B273" s="0" t="s">
        <v>30</v>
      </c>
      <c r="C273" s="0" t="s">
        <v>182</v>
      </c>
      <c r="D273" s="0" t="s">
        <v>289</v>
      </c>
      <c r="E273" s="0" t="s">
        <v>154</v>
      </c>
      <c r="F273" s="0" t="s">
        <v>582</v>
      </c>
      <c r="G273" s="0" t="s">
        <v>759</v>
      </c>
      <c r="H273" s="0">
        <v>12</v>
      </c>
      <c r="I273" s="0">
        <v>52</v>
      </c>
      <c r="J273" s="0">
        <v>2786</v>
      </c>
    </row>
    <row r="274">
      <c r="A274" s="0" t="s">
        <v>28</v>
      </c>
      <c r="B274" s="0" t="s">
        <v>30</v>
      </c>
      <c r="C274" s="0" t="s">
        <v>182</v>
      </c>
      <c r="D274" s="0" t="s">
        <v>289</v>
      </c>
      <c r="E274" s="0" t="s">
        <v>154</v>
      </c>
      <c r="F274" s="0" t="s">
        <v>584</v>
      </c>
      <c r="G274" s="0" t="s">
        <v>760</v>
      </c>
      <c r="H274" s="0">
        <v>12</v>
      </c>
      <c r="I274" s="0">
        <v>52</v>
      </c>
      <c r="J274" s="0">
        <v>2786</v>
      </c>
    </row>
    <row r="275">
      <c r="A275" s="0" t="s">
        <v>28</v>
      </c>
      <c r="B275" s="0" t="s">
        <v>30</v>
      </c>
      <c r="C275" s="0" t="s">
        <v>182</v>
      </c>
      <c r="D275" s="0" t="s">
        <v>289</v>
      </c>
      <c r="E275" s="0" t="s">
        <v>154</v>
      </c>
      <c r="F275" s="0" t="s">
        <v>586</v>
      </c>
      <c r="G275" s="0" t="s">
        <v>587</v>
      </c>
      <c r="H275" s="0">
        <v>12</v>
      </c>
      <c r="I275" s="0">
        <v>52</v>
      </c>
      <c r="J275" s="0">
        <v>2786</v>
      </c>
    </row>
    <row r="276">
      <c r="A276" s="0" t="s">
        <v>28</v>
      </c>
      <c r="B276" s="0" t="s">
        <v>30</v>
      </c>
      <c r="C276" s="0" t="s">
        <v>182</v>
      </c>
      <c r="D276" s="0" t="s">
        <v>289</v>
      </c>
      <c r="E276" s="0" t="s">
        <v>154</v>
      </c>
      <c r="F276" s="0" t="s">
        <v>588</v>
      </c>
      <c r="G276" s="0" t="s">
        <v>761</v>
      </c>
      <c r="H276" s="0">
        <v>12</v>
      </c>
      <c r="I276" s="0">
        <v>52</v>
      </c>
      <c r="J276" s="0">
        <v>2786</v>
      </c>
    </row>
    <row r="277">
      <c r="A277" s="0" t="s">
        <v>28</v>
      </c>
      <c r="B277" s="0" t="s">
        <v>30</v>
      </c>
      <c r="C277" s="0" t="s">
        <v>182</v>
      </c>
      <c r="D277" s="0" t="s">
        <v>289</v>
      </c>
      <c r="E277" s="0" t="s">
        <v>154</v>
      </c>
      <c r="F277" s="0" t="s">
        <v>590</v>
      </c>
      <c r="G277" s="0" t="s">
        <v>762</v>
      </c>
      <c r="H277" s="0">
        <v>12</v>
      </c>
      <c r="I277" s="0">
        <v>52</v>
      </c>
      <c r="J277" s="0">
        <v>2786</v>
      </c>
    </row>
    <row r="278">
      <c r="A278" s="0" t="s">
        <v>28</v>
      </c>
      <c r="B278" s="0" t="s">
        <v>30</v>
      </c>
      <c r="C278" s="0" t="s">
        <v>182</v>
      </c>
      <c r="D278" s="0" t="s">
        <v>289</v>
      </c>
      <c r="E278" s="0" t="s">
        <v>154</v>
      </c>
      <c r="F278" s="0" t="s">
        <v>592</v>
      </c>
      <c r="G278" s="0" t="s">
        <v>498</v>
      </c>
      <c r="H278" s="0">
        <v>12</v>
      </c>
      <c r="I278" s="0">
        <v>52</v>
      </c>
      <c r="J278" s="0">
        <v>2786</v>
      </c>
    </row>
    <row r="279">
      <c r="A279" s="0" t="s">
        <v>28</v>
      </c>
      <c r="B279" s="0" t="s">
        <v>30</v>
      </c>
      <c r="C279" s="0" t="s">
        <v>182</v>
      </c>
      <c r="D279" s="0" t="s">
        <v>289</v>
      </c>
      <c r="E279" s="0" t="s">
        <v>154</v>
      </c>
      <c r="F279" s="0" t="s">
        <v>593</v>
      </c>
      <c r="G279" s="0" t="s">
        <v>763</v>
      </c>
      <c r="H279" s="0">
        <v>12</v>
      </c>
      <c r="I279" s="0">
        <v>52</v>
      </c>
      <c r="J279" s="0">
        <v>2786</v>
      </c>
    </row>
    <row r="280">
      <c r="A280" s="0" t="s">
        <v>28</v>
      </c>
      <c r="B280" s="0" t="s">
        <v>30</v>
      </c>
      <c r="C280" s="0" t="s">
        <v>182</v>
      </c>
      <c r="D280" s="0" t="s">
        <v>289</v>
      </c>
      <c r="E280" s="0" t="s">
        <v>154</v>
      </c>
      <c r="F280" s="0" t="s">
        <v>595</v>
      </c>
      <c r="G280" s="0" t="s">
        <v>764</v>
      </c>
      <c r="H280" s="0">
        <v>12</v>
      </c>
      <c r="I280" s="0">
        <v>52</v>
      </c>
      <c r="J280" s="0">
        <v>2786</v>
      </c>
    </row>
    <row r="281">
      <c r="A281" s="0" t="s">
        <v>28</v>
      </c>
      <c r="B281" s="0" t="s">
        <v>30</v>
      </c>
      <c r="C281" s="0" t="s">
        <v>182</v>
      </c>
      <c r="D281" s="0" t="s">
        <v>289</v>
      </c>
      <c r="E281" s="0" t="s">
        <v>154</v>
      </c>
      <c r="F281" s="0" t="s">
        <v>597</v>
      </c>
      <c r="G281" s="0" t="s">
        <v>765</v>
      </c>
      <c r="H281" s="0">
        <v>12</v>
      </c>
      <c r="I281" s="0">
        <v>52</v>
      </c>
      <c r="J281" s="0">
        <v>2786</v>
      </c>
    </row>
    <row r="282">
      <c r="A282" s="0" t="s">
        <v>28</v>
      </c>
      <c r="B282" s="0" t="s">
        <v>30</v>
      </c>
      <c r="C282" s="0" t="s">
        <v>182</v>
      </c>
      <c r="D282" s="0" t="s">
        <v>289</v>
      </c>
      <c r="E282" s="0" t="s">
        <v>154</v>
      </c>
      <c r="F282" s="0" t="s">
        <v>599</v>
      </c>
      <c r="G282" s="0" t="s">
        <v>600</v>
      </c>
      <c r="H282" s="0">
        <v>12</v>
      </c>
      <c r="I282" s="0">
        <v>52</v>
      </c>
      <c r="J282" s="0">
        <v>2786</v>
      </c>
    </row>
    <row r="283">
      <c r="A283" s="0" t="s">
        <v>28</v>
      </c>
      <c r="B283" s="0" t="s">
        <v>30</v>
      </c>
      <c r="C283" s="0" t="s">
        <v>182</v>
      </c>
      <c r="D283" s="0" t="s">
        <v>289</v>
      </c>
      <c r="E283" s="0" t="s">
        <v>154</v>
      </c>
      <c r="F283" s="0" t="s">
        <v>601</v>
      </c>
      <c r="G283" s="0" t="s">
        <v>602</v>
      </c>
      <c r="H283" s="0">
        <v>12</v>
      </c>
      <c r="I283" s="0">
        <v>52</v>
      </c>
      <c r="J283" s="0">
        <v>2786</v>
      </c>
    </row>
    <row r="284">
      <c r="A284" s="0" t="s">
        <v>28</v>
      </c>
      <c r="B284" s="0" t="s">
        <v>30</v>
      </c>
      <c r="C284" s="0" t="s">
        <v>182</v>
      </c>
      <c r="D284" s="0" t="s">
        <v>289</v>
      </c>
      <c r="E284" s="0" t="s">
        <v>154</v>
      </c>
      <c r="F284" s="0" t="s">
        <v>603</v>
      </c>
      <c r="G284" s="0" t="s">
        <v>766</v>
      </c>
      <c r="H284" s="0">
        <v>12</v>
      </c>
      <c r="I284" s="0">
        <v>52</v>
      </c>
      <c r="J284" s="0">
        <v>2786</v>
      </c>
    </row>
    <row r="285">
      <c r="A285" s="0" t="s">
        <v>28</v>
      </c>
      <c r="B285" s="0" t="s">
        <v>30</v>
      </c>
      <c r="C285" s="0" t="s">
        <v>182</v>
      </c>
      <c r="D285" s="0" t="s">
        <v>289</v>
      </c>
      <c r="E285" s="0" t="s">
        <v>154</v>
      </c>
      <c r="F285" s="0" t="s">
        <v>605</v>
      </c>
      <c r="G285" s="0" t="s">
        <v>114</v>
      </c>
      <c r="H285" s="0">
        <v>12</v>
      </c>
      <c r="I285" s="0">
        <v>52</v>
      </c>
      <c r="J285" s="0">
        <v>2786</v>
      </c>
    </row>
    <row r="286">
      <c r="A286" s="0" t="s">
        <v>28</v>
      </c>
      <c r="B286" s="0" t="s">
        <v>30</v>
      </c>
      <c r="C286" s="0" t="s">
        <v>182</v>
      </c>
      <c r="D286" s="0" t="s">
        <v>289</v>
      </c>
      <c r="E286" s="0" t="s">
        <v>154</v>
      </c>
      <c r="F286" s="0" t="s">
        <v>606</v>
      </c>
      <c r="G286" s="0" t="s">
        <v>607</v>
      </c>
      <c r="H286" s="0">
        <v>12</v>
      </c>
      <c r="I286" s="0">
        <v>52</v>
      </c>
      <c r="J286" s="0">
        <v>2786</v>
      </c>
    </row>
    <row r="287">
      <c r="A287" s="0" t="s">
        <v>28</v>
      </c>
      <c r="B287" s="0" t="s">
        <v>30</v>
      </c>
      <c r="C287" s="0" t="s">
        <v>182</v>
      </c>
      <c r="D287" s="0" t="s">
        <v>289</v>
      </c>
      <c r="E287" s="0" t="s">
        <v>154</v>
      </c>
      <c r="F287" s="0" t="s">
        <v>608</v>
      </c>
      <c r="G287" s="0" t="s">
        <v>765</v>
      </c>
      <c r="H287" s="0">
        <v>12</v>
      </c>
      <c r="I287" s="0">
        <v>52</v>
      </c>
      <c r="J287" s="0">
        <v>2786</v>
      </c>
    </row>
    <row r="288">
      <c r="A288" s="0" t="s">
        <v>28</v>
      </c>
      <c r="B288" s="0" t="s">
        <v>30</v>
      </c>
      <c r="C288" s="0" t="s">
        <v>182</v>
      </c>
      <c r="D288" s="0" t="s">
        <v>289</v>
      </c>
      <c r="E288" s="0" t="s">
        <v>154</v>
      </c>
      <c r="F288" s="0" t="s">
        <v>609</v>
      </c>
      <c r="G288" s="0" t="s">
        <v>341</v>
      </c>
      <c r="H288" s="0">
        <v>12</v>
      </c>
      <c r="I288" s="0">
        <v>52</v>
      </c>
      <c r="J288" s="0">
        <v>2786</v>
      </c>
    </row>
    <row r="289">
      <c r="A289" s="0" t="s">
        <v>28</v>
      </c>
      <c r="B289" s="0" t="s">
        <v>30</v>
      </c>
      <c r="C289" s="0" t="s">
        <v>182</v>
      </c>
      <c r="D289" s="0" t="s">
        <v>289</v>
      </c>
      <c r="E289" s="0" t="s">
        <v>154</v>
      </c>
      <c r="F289" s="0" t="s">
        <v>610</v>
      </c>
      <c r="G289" s="0" t="s">
        <v>767</v>
      </c>
      <c r="H289" s="0">
        <v>12</v>
      </c>
      <c r="I289" s="0">
        <v>52</v>
      </c>
      <c r="J289" s="0">
        <v>2786</v>
      </c>
    </row>
    <row r="290">
      <c r="A290" s="0" t="s">
        <v>28</v>
      </c>
      <c r="B290" s="0" t="s">
        <v>30</v>
      </c>
      <c r="C290" s="0" t="s">
        <v>182</v>
      </c>
      <c r="D290" s="0" t="s">
        <v>289</v>
      </c>
      <c r="E290" s="0" t="s">
        <v>154</v>
      </c>
      <c r="F290" s="0" t="s">
        <v>612</v>
      </c>
      <c r="G290" s="0" t="s">
        <v>768</v>
      </c>
      <c r="H290" s="0">
        <v>12</v>
      </c>
      <c r="I290" s="0">
        <v>52</v>
      </c>
      <c r="J290" s="0">
        <v>2786</v>
      </c>
    </row>
    <row r="291">
      <c r="A291" s="0" t="s">
        <v>28</v>
      </c>
      <c r="B291" s="0" t="s">
        <v>30</v>
      </c>
      <c r="C291" s="0" t="s">
        <v>182</v>
      </c>
      <c r="D291" s="0" t="s">
        <v>289</v>
      </c>
      <c r="E291" s="0" t="s">
        <v>154</v>
      </c>
      <c r="F291" s="0" t="s">
        <v>614</v>
      </c>
      <c r="G291" s="0" t="s">
        <v>769</v>
      </c>
      <c r="H291" s="0">
        <v>12</v>
      </c>
      <c r="I291" s="0">
        <v>52</v>
      </c>
      <c r="J291" s="0">
        <v>2786</v>
      </c>
    </row>
    <row r="292">
      <c r="A292" s="0" t="s">
        <v>28</v>
      </c>
      <c r="B292" s="0" t="s">
        <v>30</v>
      </c>
      <c r="C292" s="0" t="s">
        <v>182</v>
      </c>
      <c r="D292" s="0" t="s">
        <v>289</v>
      </c>
      <c r="E292" s="0" t="s">
        <v>154</v>
      </c>
      <c r="F292" s="0" t="s">
        <v>616</v>
      </c>
      <c r="G292" s="0" t="s">
        <v>770</v>
      </c>
      <c r="H292" s="0">
        <v>12</v>
      </c>
      <c r="I292" s="0">
        <v>52</v>
      </c>
      <c r="J292" s="0">
        <v>2786</v>
      </c>
    </row>
    <row r="293">
      <c r="A293" s="0" t="s">
        <v>28</v>
      </c>
      <c r="B293" s="0" t="s">
        <v>30</v>
      </c>
      <c r="C293" s="0" t="s">
        <v>182</v>
      </c>
      <c r="D293" s="0" t="s">
        <v>289</v>
      </c>
      <c r="E293" s="0" t="s">
        <v>154</v>
      </c>
      <c r="F293" s="0" t="s">
        <v>618</v>
      </c>
      <c r="G293" s="0" t="s">
        <v>602</v>
      </c>
      <c r="H293" s="0">
        <v>12</v>
      </c>
      <c r="I293" s="0">
        <v>52</v>
      </c>
      <c r="J293" s="0">
        <v>2786</v>
      </c>
    </row>
    <row r="294">
      <c r="A294" s="0" t="s">
        <v>28</v>
      </c>
      <c r="B294" s="0" t="s">
        <v>30</v>
      </c>
      <c r="C294" s="0" t="s">
        <v>182</v>
      </c>
      <c r="D294" s="0" t="s">
        <v>289</v>
      </c>
      <c r="E294" s="0" t="s">
        <v>154</v>
      </c>
      <c r="F294" s="0" t="s">
        <v>619</v>
      </c>
      <c r="G294" s="0" t="s">
        <v>544</v>
      </c>
      <c r="H294" s="0">
        <v>12</v>
      </c>
      <c r="I294" s="0">
        <v>52</v>
      </c>
      <c r="J294" s="0">
        <v>2786</v>
      </c>
    </row>
    <row r="295">
      <c r="A295" s="0" t="s">
        <v>28</v>
      </c>
      <c r="B295" s="0" t="s">
        <v>30</v>
      </c>
      <c r="C295" s="0" t="s">
        <v>182</v>
      </c>
      <c r="D295" s="0" t="s">
        <v>289</v>
      </c>
      <c r="E295" s="0" t="s">
        <v>154</v>
      </c>
      <c r="F295" s="0" t="s">
        <v>620</v>
      </c>
      <c r="G295" s="0" t="s">
        <v>114</v>
      </c>
      <c r="H295" s="0">
        <v>12</v>
      </c>
      <c r="I295" s="0">
        <v>52</v>
      </c>
      <c r="J295" s="0">
        <v>2786</v>
      </c>
    </row>
    <row r="296">
      <c r="A296" s="0" t="s">
        <v>28</v>
      </c>
      <c r="B296" s="0" t="s">
        <v>30</v>
      </c>
      <c r="C296" s="0" t="s">
        <v>182</v>
      </c>
      <c r="D296" s="0" t="s">
        <v>289</v>
      </c>
      <c r="E296" s="0" t="s">
        <v>154</v>
      </c>
      <c r="F296" s="0" t="s">
        <v>621</v>
      </c>
      <c r="G296" s="0" t="s">
        <v>771</v>
      </c>
      <c r="H296" s="0">
        <v>12</v>
      </c>
      <c r="I296" s="0">
        <v>52</v>
      </c>
      <c r="J296" s="0">
        <v>2786</v>
      </c>
    </row>
    <row r="297">
      <c r="A297" s="0" t="s">
        <v>28</v>
      </c>
      <c r="B297" s="0" t="s">
        <v>30</v>
      </c>
      <c r="C297" s="0" t="s">
        <v>182</v>
      </c>
      <c r="D297" s="0" t="s">
        <v>289</v>
      </c>
      <c r="E297" s="0" t="s">
        <v>154</v>
      </c>
      <c r="F297" s="0" t="s">
        <v>623</v>
      </c>
      <c r="G297" s="0" t="s">
        <v>772</v>
      </c>
      <c r="H297" s="0">
        <v>12</v>
      </c>
      <c r="I297" s="0">
        <v>52</v>
      </c>
      <c r="J297" s="0">
        <v>2786</v>
      </c>
    </row>
    <row r="298">
      <c r="A298" s="0" t="s">
        <v>28</v>
      </c>
      <c r="B298" s="0" t="s">
        <v>30</v>
      </c>
      <c r="C298" s="0" t="s">
        <v>182</v>
      </c>
      <c r="D298" s="0" t="s">
        <v>289</v>
      </c>
      <c r="E298" s="0" t="s">
        <v>154</v>
      </c>
      <c r="F298" s="0" t="s">
        <v>625</v>
      </c>
      <c r="G298" s="0" t="s">
        <v>773</v>
      </c>
      <c r="H298" s="0">
        <v>12</v>
      </c>
      <c r="I298" s="0">
        <v>52</v>
      </c>
      <c r="J298" s="0">
        <v>2786</v>
      </c>
    </row>
    <row r="299">
      <c r="A299" s="0" t="s">
        <v>28</v>
      </c>
      <c r="B299" s="0" t="s">
        <v>30</v>
      </c>
      <c r="C299" s="0" t="s">
        <v>182</v>
      </c>
      <c r="D299" s="0" t="s">
        <v>289</v>
      </c>
      <c r="E299" s="0" t="s">
        <v>154</v>
      </c>
      <c r="F299" s="0" t="s">
        <v>627</v>
      </c>
      <c r="G299" s="0" t="s">
        <v>628</v>
      </c>
      <c r="H299" s="0">
        <v>12</v>
      </c>
      <c r="I299" s="0">
        <v>52</v>
      </c>
      <c r="J299" s="0">
        <v>2786</v>
      </c>
    </row>
    <row r="300">
      <c r="A300" s="0" t="s">
        <v>28</v>
      </c>
      <c r="B300" s="0" t="s">
        <v>30</v>
      </c>
      <c r="C300" s="0" t="s">
        <v>182</v>
      </c>
      <c r="D300" s="0" t="s">
        <v>289</v>
      </c>
      <c r="E300" s="0" t="s">
        <v>154</v>
      </c>
      <c r="F300" s="0" t="s">
        <v>629</v>
      </c>
      <c r="G300" s="0" t="s">
        <v>630</v>
      </c>
      <c r="H300" s="0">
        <v>12</v>
      </c>
      <c r="I300" s="0">
        <v>52</v>
      </c>
      <c r="J300" s="0">
        <v>2786</v>
      </c>
    </row>
    <row r="301">
      <c r="A301" s="0" t="s">
        <v>28</v>
      </c>
      <c r="B301" s="0" t="s">
        <v>30</v>
      </c>
      <c r="C301" s="0" t="s">
        <v>182</v>
      </c>
      <c r="D301" s="0" t="s">
        <v>289</v>
      </c>
      <c r="E301" s="0" t="s">
        <v>154</v>
      </c>
      <c r="F301" s="0" t="s">
        <v>631</v>
      </c>
      <c r="G301" s="0" t="s">
        <v>545</v>
      </c>
      <c r="H301" s="0">
        <v>12</v>
      </c>
      <c r="I301" s="0">
        <v>52</v>
      </c>
      <c r="J301" s="0">
        <v>2786</v>
      </c>
    </row>
    <row r="302">
      <c r="A302" s="0" t="s">
        <v>28</v>
      </c>
      <c r="B302" s="0" t="s">
        <v>30</v>
      </c>
      <c r="C302" s="0" t="s">
        <v>182</v>
      </c>
      <c r="D302" s="0" t="s">
        <v>289</v>
      </c>
      <c r="E302" s="0" t="s">
        <v>154</v>
      </c>
      <c r="F302" s="0" t="s">
        <v>632</v>
      </c>
      <c r="G302" s="0" t="s">
        <v>284</v>
      </c>
      <c r="H302" s="0">
        <v>12</v>
      </c>
      <c r="I302" s="0">
        <v>52</v>
      </c>
      <c r="J302" s="0">
        <v>2786</v>
      </c>
    </row>
    <row r="303">
      <c r="A303" s="0" t="s">
        <v>28</v>
      </c>
      <c r="B303" s="0" t="s">
        <v>30</v>
      </c>
      <c r="C303" s="0" t="s">
        <v>182</v>
      </c>
      <c r="D303" s="0" t="s">
        <v>289</v>
      </c>
      <c r="E303" s="0" t="s">
        <v>154</v>
      </c>
      <c r="F303" s="0" t="s">
        <v>633</v>
      </c>
      <c r="G303" s="0" t="s">
        <v>634</v>
      </c>
      <c r="H303" s="0">
        <v>12</v>
      </c>
      <c r="I303" s="0">
        <v>52</v>
      </c>
      <c r="J303" s="0">
        <v>2786</v>
      </c>
    </row>
    <row r="304">
      <c r="A304" s="0" t="s">
        <v>28</v>
      </c>
      <c r="B304" s="0" t="s">
        <v>30</v>
      </c>
      <c r="C304" s="0" t="s">
        <v>182</v>
      </c>
      <c r="D304" s="0" t="s">
        <v>289</v>
      </c>
      <c r="E304" s="0" t="s">
        <v>154</v>
      </c>
      <c r="F304" s="0" t="s">
        <v>635</v>
      </c>
      <c r="G304" s="0" t="s">
        <v>634</v>
      </c>
      <c r="H304" s="0">
        <v>12</v>
      </c>
      <c r="I304" s="0">
        <v>52</v>
      </c>
      <c r="J304" s="0">
        <v>2786</v>
      </c>
    </row>
    <row r="305">
      <c r="A305" s="0" t="s">
        <v>28</v>
      </c>
      <c r="B305" s="0" t="s">
        <v>30</v>
      </c>
      <c r="C305" s="0" t="s">
        <v>182</v>
      </c>
      <c r="D305" s="0" t="s">
        <v>289</v>
      </c>
      <c r="E305" s="0" t="s">
        <v>154</v>
      </c>
      <c r="F305" s="0" t="s">
        <v>636</v>
      </c>
      <c r="G305" s="0" t="s">
        <v>114</v>
      </c>
      <c r="H305" s="0">
        <v>12</v>
      </c>
      <c r="I305" s="0">
        <v>52</v>
      </c>
      <c r="J305" s="0">
        <v>2786</v>
      </c>
    </row>
    <row r="306">
      <c r="A306" s="0" t="s">
        <v>28</v>
      </c>
      <c r="B306" s="0" t="s">
        <v>30</v>
      </c>
      <c r="C306" s="0" t="s">
        <v>182</v>
      </c>
      <c r="D306" s="0" t="s">
        <v>289</v>
      </c>
      <c r="E306" s="0" t="s">
        <v>154</v>
      </c>
      <c r="F306" s="0" t="s">
        <v>637</v>
      </c>
      <c r="G306" s="0" t="s">
        <v>607</v>
      </c>
      <c r="H306" s="0">
        <v>12</v>
      </c>
      <c r="I306" s="0">
        <v>52</v>
      </c>
      <c r="J306" s="0">
        <v>2786</v>
      </c>
    </row>
    <row r="307">
      <c r="A307" s="0" t="s">
        <v>28</v>
      </c>
      <c r="B307" s="0" t="s">
        <v>30</v>
      </c>
      <c r="C307" s="0" t="s">
        <v>182</v>
      </c>
      <c r="D307" s="0" t="s">
        <v>289</v>
      </c>
      <c r="E307" s="0" t="s">
        <v>154</v>
      </c>
      <c r="F307" s="0" t="s">
        <v>638</v>
      </c>
      <c r="G307" s="0" t="s">
        <v>774</v>
      </c>
      <c r="H307" s="0">
        <v>12</v>
      </c>
      <c r="I307" s="0">
        <v>52</v>
      </c>
      <c r="J307" s="0">
        <v>2786</v>
      </c>
    </row>
    <row r="308">
      <c r="A308" s="0" t="s">
        <v>28</v>
      </c>
      <c r="B308" s="0" t="s">
        <v>30</v>
      </c>
      <c r="C308" s="0" t="s">
        <v>182</v>
      </c>
      <c r="D308" s="0" t="s">
        <v>289</v>
      </c>
      <c r="E308" s="0" t="s">
        <v>154</v>
      </c>
      <c r="F308" s="0" t="s">
        <v>640</v>
      </c>
      <c r="G308" s="0" t="s">
        <v>114</v>
      </c>
      <c r="H308" s="0">
        <v>12</v>
      </c>
      <c r="I308" s="0">
        <v>52</v>
      </c>
      <c r="J308" s="0">
        <v>2786</v>
      </c>
    </row>
    <row r="309">
      <c r="A309" s="0" t="s">
        <v>28</v>
      </c>
      <c r="B309" s="0" t="s">
        <v>30</v>
      </c>
      <c r="C309" s="0" t="s">
        <v>182</v>
      </c>
      <c r="D309" s="0" t="s">
        <v>289</v>
      </c>
      <c r="E309" s="0" t="s">
        <v>154</v>
      </c>
      <c r="F309" s="0" t="s">
        <v>641</v>
      </c>
      <c r="G309" s="0" t="s">
        <v>775</v>
      </c>
      <c r="H309" s="0">
        <v>12</v>
      </c>
      <c r="I309" s="0">
        <v>52</v>
      </c>
      <c r="J309" s="0">
        <v>2786</v>
      </c>
    </row>
    <row r="310">
      <c r="A310" s="0" t="s">
        <v>28</v>
      </c>
      <c r="B310" s="0" t="s">
        <v>30</v>
      </c>
      <c r="C310" s="0" t="s">
        <v>182</v>
      </c>
      <c r="D310" s="0" t="s">
        <v>289</v>
      </c>
      <c r="E310" s="0" t="s">
        <v>154</v>
      </c>
      <c r="F310" s="0" t="s">
        <v>643</v>
      </c>
      <c r="G310" s="0" t="s">
        <v>114</v>
      </c>
      <c r="H310" s="0">
        <v>12</v>
      </c>
      <c r="I310" s="0">
        <v>52</v>
      </c>
      <c r="J310" s="0">
        <v>2786</v>
      </c>
    </row>
    <row r="311">
      <c r="A311" s="0" t="s">
        <v>28</v>
      </c>
      <c r="B311" s="0" t="s">
        <v>30</v>
      </c>
      <c r="C311" s="0" t="s">
        <v>182</v>
      </c>
      <c r="D311" s="0" t="s">
        <v>289</v>
      </c>
      <c r="E311" s="0" t="s">
        <v>154</v>
      </c>
      <c r="F311" s="0" t="s">
        <v>644</v>
      </c>
      <c r="G311" s="0" t="s">
        <v>341</v>
      </c>
      <c r="H311" s="0">
        <v>12</v>
      </c>
      <c r="I311" s="0">
        <v>52</v>
      </c>
      <c r="J311" s="0">
        <v>2786</v>
      </c>
    </row>
    <row r="312">
      <c r="A312" s="0" t="s">
        <v>28</v>
      </c>
      <c r="B312" s="0" t="s">
        <v>30</v>
      </c>
      <c r="C312" s="0" t="s">
        <v>182</v>
      </c>
      <c r="D312" s="0" t="s">
        <v>289</v>
      </c>
      <c r="E312" s="0" t="s">
        <v>154</v>
      </c>
      <c r="F312" s="0" t="s">
        <v>645</v>
      </c>
      <c r="G312" s="0" t="s">
        <v>646</v>
      </c>
      <c r="H312" s="0">
        <v>12</v>
      </c>
      <c r="I312" s="0">
        <v>52</v>
      </c>
      <c r="J312" s="0">
        <v>2786</v>
      </c>
    </row>
    <row r="313">
      <c r="A313" s="0" t="s">
        <v>28</v>
      </c>
      <c r="B313" s="0" t="s">
        <v>30</v>
      </c>
      <c r="C313" s="0" t="s">
        <v>182</v>
      </c>
      <c r="D313" s="0" t="s">
        <v>289</v>
      </c>
      <c r="E313" s="0" t="s">
        <v>154</v>
      </c>
      <c r="F313" s="0" t="s">
        <v>647</v>
      </c>
      <c r="G313" s="0" t="s">
        <v>648</v>
      </c>
      <c r="H313" s="0">
        <v>12</v>
      </c>
      <c r="I313" s="0">
        <v>52</v>
      </c>
      <c r="J313" s="0">
        <v>2786</v>
      </c>
    </row>
    <row r="314">
      <c r="A314" s="0" t="s">
        <v>28</v>
      </c>
      <c r="B314" s="0" t="s">
        <v>30</v>
      </c>
      <c r="C314" s="0" t="s">
        <v>182</v>
      </c>
      <c r="D314" s="0" t="s">
        <v>289</v>
      </c>
      <c r="E314" s="0" t="s">
        <v>154</v>
      </c>
      <c r="F314" s="0" t="s">
        <v>649</v>
      </c>
      <c r="G314" s="0" t="s">
        <v>269</v>
      </c>
      <c r="H314" s="0">
        <v>12</v>
      </c>
      <c r="I314" s="0">
        <v>52</v>
      </c>
      <c r="J314" s="0">
        <v>2786</v>
      </c>
    </row>
    <row r="315">
      <c r="A315" s="0" t="s">
        <v>28</v>
      </c>
      <c r="B315" s="0" t="s">
        <v>30</v>
      </c>
      <c r="C315" s="0" t="s">
        <v>182</v>
      </c>
      <c r="D315" s="0" t="s">
        <v>289</v>
      </c>
      <c r="E315" s="0" t="s">
        <v>154</v>
      </c>
      <c r="F315" s="0" t="s">
        <v>650</v>
      </c>
      <c r="G315" s="0" t="s">
        <v>651</v>
      </c>
      <c r="H315" s="0">
        <v>12</v>
      </c>
      <c r="I315" s="0">
        <v>52</v>
      </c>
      <c r="J315" s="0">
        <v>2786</v>
      </c>
    </row>
    <row r="316">
      <c r="A316" s="0" t="s">
        <v>28</v>
      </c>
      <c r="B316" s="0" t="s">
        <v>30</v>
      </c>
      <c r="C316" s="0" t="s">
        <v>182</v>
      </c>
      <c r="D316" s="0" t="s">
        <v>289</v>
      </c>
      <c r="E316" s="0" t="s">
        <v>154</v>
      </c>
      <c r="F316" s="0" t="s">
        <v>652</v>
      </c>
      <c r="G316" s="0" t="s">
        <v>776</v>
      </c>
      <c r="H316" s="0">
        <v>12</v>
      </c>
      <c r="I316" s="0">
        <v>52</v>
      </c>
      <c r="J316" s="0">
        <v>2786</v>
      </c>
    </row>
    <row r="317">
      <c r="A317" s="0" t="s">
        <v>28</v>
      </c>
      <c r="B317" s="0" t="s">
        <v>30</v>
      </c>
      <c r="C317" s="0" t="s">
        <v>182</v>
      </c>
      <c r="D317" s="0" t="s">
        <v>289</v>
      </c>
      <c r="E317" s="0" t="s">
        <v>154</v>
      </c>
      <c r="F317" s="0" t="s">
        <v>654</v>
      </c>
      <c r="G317" s="0" t="s">
        <v>655</v>
      </c>
      <c r="H317" s="0">
        <v>12</v>
      </c>
      <c r="I317" s="0">
        <v>52</v>
      </c>
      <c r="J317" s="0">
        <v>2786</v>
      </c>
    </row>
    <row r="318">
      <c r="A318" s="0" t="s">
        <v>28</v>
      </c>
      <c r="B318" s="0" t="s">
        <v>30</v>
      </c>
      <c r="C318" s="0" t="s">
        <v>182</v>
      </c>
      <c r="D318" s="0" t="s">
        <v>289</v>
      </c>
      <c r="E318" s="0" t="s">
        <v>154</v>
      </c>
      <c r="F318" s="0" t="s">
        <v>656</v>
      </c>
      <c r="G318" s="0" t="s">
        <v>602</v>
      </c>
      <c r="H318" s="0">
        <v>12</v>
      </c>
      <c r="I318" s="0">
        <v>52</v>
      </c>
      <c r="J318" s="0">
        <v>2786</v>
      </c>
    </row>
    <row r="319">
      <c r="A319" s="0" t="s">
        <v>28</v>
      </c>
      <c r="B319" s="0" t="s">
        <v>30</v>
      </c>
      <c r="C319" s="0" t="s">
        <v>182</v>
      </c>
      <c r="D319" s="0" t="s">
        <v>289</v>
      </c>
      <c r="E319" s="0" t="s">
        <v>154</v>
      </c>
      <c r="F319" s="0" t="s">
        <v>657</v>
      </c>
      <c r="G319" s="0" t="s">
        <v>291</v>
      </c>
      <c r="H319" s="0">
        <v>12</v>
      </c>
      <c r="I319" s="0">
        <v>52</v>
      </c>
      <c r="J319" s="0">
        <v>2786</v>
      </c>
    </row>
    <row r="320">
      <c r="A320" s="0" t="s">
        <v>28</v>
      </c>
      <c r="B320" s="0" t="s">
        <v>30</v>
      </c>
      <c r="C320" s="0" t="s">
        <v>182</v>
      </c>
      <c r="D320" s="0" t="s">
        <v>289</v>
      </c>
      <c r="E320" s="0" t="s">
        <v>154</v>
      </c>
      <c r="F320" s="0" t="s">
        <v>658</v>
      </c>
      <c r="G320" s="0" t="s">
        <v>544</v>
      </c>
      <c r="H320" s="0">
        <v>12</v>
      </c>
      <c r="I320" s="0">
        <v>52</v>
      </c>
      <c r="J320" s="0">
        <v>2786</v>
      </c>
    </row>
    <row r="321">
      <c r="A321" s="0" t="s">
        <v>28</v>
      </c>
      <c r="B321" s="0" t="s">
        <v>30</v>
      </c>
      <c r="C321" s="0" t="s">
        <v>182</v>
      </c>
      <c r="D321" s="0" t="s">
        <v>289</v>
      </c>
      <c r="E321" s="0" t="s">
        <v>154</v>
      </c>
      <c r="F321" s="0" t="s">
        <v>659</v>
      </c>
      <c r="G321" s="0" t="s">
        <v>777</v>
      </c>
      <c r="H321" s="0">
        <v>12</v>
      </c>
      <c r="I321" s="0">
        <v>52</v>
      </c>
      <c r="J321" s="0">
        <v>2786</v>
      </c>
    </row>
    <row r="322">
      <c r="A322" s="0" t="s">
        <v>28</v>
      </c>
      <c r="B322" s="0" t="s">
        <v>30</v>
      </c>
      <c r="C322" s="0" t="s">
        <v>182</v>
      </c>
      <c r="D322" s="0" t="s">
        <v>289</v>
      </c>
      <c r="E322" s="0" t="s">
        <v>154</v>
      </c>
      <c r="F322" s="0" t="s">
        <v>661</v>
      </c>
      <c r="G322" s="0" t="s">
        <v>778</v>
      </c>
      <c r="H322" s="0">
        <v>12</v>
      </c>
      <c r="I322" s="0">
        <v>52</v>
      </c>
      <c r="J322" s="0">
        <v>2786</v>
      </c>
    </row>
    <row r="323">
      <c r="A323" s="0" t="s">
        <v>28</v>
      </c>
      <c r="B323" s="0" t="s">
        <v>30</v>
      </c>
      <c r="C323" s="0" t="s">
        <v>182</v>
      </c>
      <c r="D323" s="0" t="s">
        <v>289</v>
      </c>
      <c r="E323" s="0" t="s">
        <v>154</v>
      </c>
      <c r="F323" s="0" t="s">
        <v>663</v>
      </c>
      <c r="G323" s="0" t="s">
        <v>114</v>
      </c>
      <c r="H323" s="0">
        <v>12</v>
      </c>
      <c r="I323" s="0">
        <v>52</v>
      </c>
      <c r="J323" s="0">
        <v>2786</v>
      </c>
    </row>
    <row r="324">
      <c r="A324" s="0" t="s">
        <v>28</v>
      </c>
      <c r="B324" s="0" t="s">
        <v>30</v>
      </c>
      <c r="C324" s="0" t="s">
        <v>182</v>
      </c>
      <c r="D324" s="0" t="s">
        <v>289</v>
      </c>
      <c r="E324" s="0" t="s">
        <v>154</v>
      </c>
      <c r="F324" s="0" t="s">
        <v>664</v>
      </c>
      <c r="G324" s="0" t="s">
        <v>779</v>
      </c>
      <c r="H324" s="0">
        <v>12</v>
      </c>
      <c r="I324" s="0">
        <v>52</v>
      </c>
      <c r="J324" s="0">
        <v>2786</v>
      </c>
    </row>
    <row r="325">
      <c r="A325" s="0" t="s">
        <v>28</v>
      </c>
      <c r="B325" s="0" t="s">
        <v>30</v>
      </c>
      <c r="C325" s="0" t="s">
        <v>182</v>
      </c>
      <c r="D325" s="0" t="s">
        <v>289</v>
      </c>
      <c r="E325" s="0" t="s">
        <v>154</v>
      </c>
      <c r="F325" s="0" t="s">
        <v>666</v>
      </c>
      <c r="G325" s="0" t="s">
        <v>760</v>
      </c>
      <c r="H325" s="0">
        <v>12</v>
      </c>
      <c r="I325" s="0">
        <v>52</v>
      </c>
      <c r="J325" s="0">
        <v>2786</v>
      </c>
    </row>
    <row r="326">
      <c r="A326" s="0" t="s">
        <v>28</v>
      </c>
      <c r="B326" s="0" t="s">
        <v>30</v>
      </c>
      <c r="C326" s="0" t="s">
        <v>182</v>
      </c>
      <c r="D326" s="0" t="s">
        <v>289</v>
      </c>
      <c r="E326" s="0" t="s">
        <v>154</v>
      </c>
      <c r="F326" s="0" t="s">
        <v>667</v>
      </c>
      <c r="G326" s="0" t="s">
        <v>668</v>
      </c>
      <c r="H326" s="0">
        <v>12</v>
      </c>
      <c r="I326" s="0">
        <v>52</v>
      </c>
      <c r="J326" s="0">
        <v>2786</v>
      </c>
    </row>
    <row r="327">
      <c r="A327" s="0" t="s">
        <v>28</v>
      </c>
      <c r="B327" s="0" t="s">
        <v>30</v>
      </c>
      <c r="C327" s="0" t="s">
        <v>182</v>
      </c>
      <c r="D327" s="0" t="s">
        <v>289</v>
      </c>
      <c r="E327" s="0" t="s">
        <v>154</v>
      </c>
      <c r="F327" s="0" t="s">
        <v>669</v>
      </c>
      <c r="G327" s="0" t="s">
        <v>545</v>
      </c>
      <c r="H327" s="0">
        <v>12</v>
      </c>
      <c r="I327" s="0">
        <v>52</v>
      </c>
      <c r="J327" s="0">
        <v>2786</v>
      </c>
    </row>
    <row r="328">
      <c r="A328" s="0" t="s">
        <v>28</v>
      </c>
      <c r="B328" s="0" t="s">
        <v>30</v>
      </c>
      <c r="C328" s="0" t="s">
        <v>182</v>
      </c>
      <c r="D328" s="0" t="s">
        <v>289</v>
      </c>
      <c r="E328" s="0" t="s">
        <v>154</v>
      </c>
      <c r="F328" s="0" t="s">
        <v>670</v>
      </c>
      <c r="G328" s="0" t="s">
        <v>780</v>
      </c>
      <c r="H328" s="0">
        <v>12</v>
      </c>
      <c r="I328" s="0">
        <v>52</v>
      </c>
      <c r="J328" s="0">
        <v>2786</v>
      </c>
    </row>
    <row r="329">
      <c r="A329" s="0" t="s">
        <v>28</v>
      </c>
      <c r="B329" s="0" t="s">
        <v>30</v>
      </c>
      <c r="C329" s="0" t="s">
        <v>182</v>
      </c>
      <c r="D329" s="0" t="s">
        <v>289</v>
      </c>
      <c r="E329" s="0" t="s">
        <v>154</v>
      </c>
      <c r="F329" s="0" t="s">
        <v>672</v>
      </c>
      <c r="G329" s="0" t="s">
        <v>498</v>
      </c>
      <c r="H329" s="0">
        <v>12</v>
      </c>
      <c r="I329" s="0">
        <v>52</v>
      </c>
      <c r="J329" s="0">
        <v>2786</v>
      </c>
    </row>
    <row r="330">
      <c r="A330" s="0" t="s">
        <v>28</v>
      </c>
      <c r="B330" s="0" t="s">
        <v>30</v>
      </c>
      <c r="C330" s="0" t="s">
        <v>182</v>
      </c>
      <c r="D330" s="0" t="s">
        <v>289</v>
      </c>
      <c r="E330" s="0" t="s">
        <v>154</v>
      </c>
      <c r="F330" s="0" t="s">
        <v>673</v>
      </c>
      <c r="G330" s="0" t="s">
        <v>765</v>
      </c>
      <c r="H330" s="0">
        <v>12</v>
      </c>
      <c r="I330" s="0">
        <v>52</v>
      </c>
      <c r="J330" s="0">
        <v>2786</v>
      </c>
    </row>
    <row r="331">
      <c r="A331" s="0" t="s">
        <v>28</v>
      </c>
      <c r="B331" s="0" t="s">
        <v>30</v>
      </c>
      <c r="C331" s="0" t="s">
        <v>182</v>
      </c>
      <c r="D331" s="0" t="s">
        <v>289</v>
      </c>
      <c r="E331" s="0" t="s">
        <v>154</v>
      </c>
      <c r="F331" s="0" t="s">
        <v>674</v>
      </c>
      <c r="G331" s="0" t="s">
        <v>341</v>
      </c>
      <c r="H331" s="0">
        <v>12</v>
      </c>
      <c r="I331" s="0">
        <v>52</v>
      </c>
      <c r="J331" s="0">
        <v>2786</v>
      </c>
    </row>
    <row r="332">
      <c r="A332" s="0" t="s">
        <v>28</v>
      </c>
      <c r="B332" s="0" t="s">
        <v>30</v>
      </c>
      <c r="C332" s="0" t="s">
        <v>182</v>
      </c>
      <c r="D332" s="0" t="s">
        <v>289</v>
      </c>
      <c r="E332" s="0" t="s">
        <v>154</v>
      </c>
      <c r="F332" s="0" t="s">
        <v>675</v>
      </c>
      <c r="G332" s="0" t="s">
        <v>781</v>
      </c>
      <c r="H332" s="0">
        <v>12</v>
      </c>
      <c r="I332" s="0">
        <v>52</v>
      </c>
      <c r="J332" s="0">
        <v>2786</v>
      </c>
    </row>
    <row r="333">
      <c r="A333" s="0" t="s">
        <v>28</v>
      </c>
      <c r="B333" s="0" t="s">
        <v>30</v>
      </c>
      <c r="C333" s="0" t="s">
        <v>182</v>
      </c>
      <c r="D333" s="0" t="s">
        <v>289</v>
      </c>
      <c r="E333" s="0" t="s">
        <v>154</v>
      </c>
      <c r="F333" s="0" t="s">
        <v>677</v>
      </c>
      <c r="G333" s="0" t="s">
        <v>544</v>
      </c>
      <c r="H333" s="0">
        <v>12</v>
      </c>
      <c r="I333" s="0">
        <v>52</v>
      </c>
      <c r="J333" s="0">
        <v>2786</v>
      </c>
    </row>
    <row r="334">
      <c r="A334" s="0" t="s">
        <v>28</v>
      </c>
      <c r="B334" s="0" t="s">
        <v>30</v>
      </c>
      <c r="C334" s="0" t="s">
        <v>182</v>
      </c>
      <c r="D334" s="0" t="s">
        <v>289</v>
      </c>
      <c r="E334" s="0" t="s">
        <v>154</v>
      </c>
      <c r="F334" s="0" t="s">
        <v>678</v>
      </c>
      <c r="G334" s="0" t="s">
        <v>782</v>
      </c>
      <c r="H334" s="0">
        <v>12</v>
      </c>
      <c r="I334" s="0">
        <v>52</v>
      </c>
      <c r="J334" s="0">
        <v>2786</v>
      </c>
    </row>
    <row r="335">
      <c r="A335" s="0" t="s">
        <v>28</v>
      </c>
      <c r="B335" s="0" t="s">
        <v>30</v>
      </c>
      <c r="C335" s="0" t="s">
        <v>182</v>
      </c>
      <c r="D335" s="0" t="s">
        <v>289</v>
      </c>
      <c r="E335" s="0" t="s">
        <v>154</v>
      </c>
      <c r="F335" s="0" t="s">
        <v>680</v>
      </c>
      <c r="G335" s="0" t="s">
        <v>783</v>
      </c>
      <c r="H335" s="0">
        <v>12</v>
      </c>
      <c r="I335" s="0">
        <v>52</v>
      </c>
      <c r="J335" s="0">
        <v>2786</v>
      </c>
    </row>
    <row r="336">
      <c r="A336" s="0" t="s">
        <v>28</v>
      </c>
      <c r="B336" s="0" t="s">
        <v>30</v>
      </c>
      <c r="C336" s="0" t="s">
        <v>182</v>
      </c>
      <c r="D336" s="0" t="s">
        <v>289</v>
      </c>
      <c r="E336" s="0" t="s">
        <v>154</v>
      </c>
      <c r="F336" s="0" t="s">
        <v>682</v>
      </c>
      <c r="G336" s="0" t="s">
        <v>554</v>
      </c>
      <c r="H336" s="0">
        <v>12</v>
      </c>
      <c r="I336" s="0">
        <v>52</v>
      </c>
      <c r="J336" s="0">
        <v>2786</v>
      </c>
    </row>
    <row r="337">
      <c r="A337" s="0" t="s">
        <v>28</v>
      </c>
      <c r="B337" s="0" t="s">
        <v>30</v>
      </c>
      <c r="C337" s="0" t="s">
        <v>182</v>
      </c>
      <c r="D337" s="0" t="s">
        <v>289</v>
      </c>
      <c r="E337" s="0" t="s">
        <v>154</v>
      </c>
      <c r="F337" s="0" t="s">
        <v>683</v>
      </c>
      <c r="G337" s="0" t="s">
        <v>784</v>
      </c>
      <c r="H337" s="0">
        <v>12</v>
      </c>
      <c r="I337" s="0">
        <v>52</v>
      </c>
      <c r="J337" s="0">
        <v>2786</v>
      </c>
    </row>
    <row r="338">
      <c r="A338" s="0" t="s">
        <v>28</v>
      </c>
      <c r="B338" s="0" t="s">
        <v>30</v>
      </c>
      <c r="C338" s="0" t="s">
        <v>182</v>
      </c>
      <c r="D338" s="0" t="s">
        <v>289</v>
      </c>
      <c r="E338" s="0" t="s">
        <v>154</v>
      </c>
      <c r="F338" s="0" t="s">
        <v>685</v>
      </c>
      <c r="G338" s="0" t="s">
        <v>686</v>
      </c>
      <c r="H338" s="0">
        <v>12</v>
      </c>
      <c r="I338" s="0">
        <v>52</v>
      </c>
      <c r="J338" s="0">
        <v>2786</v>
      </c>
    </row>
    <row r="339">
      <c r="A339" s="0" t="s">
        <v>28</v>
      </c>
      <c r="B339" s="0" t="s">
        <v>30</v>
      </c>
      <c r="C339" s="0" t="s">
        <v>182</v>
      </c>
      <c r="D339" s="0" t="s">
        <v>289</v>
      </c>
      <c r="E339" s="0" t="s">
        <v>154</v>
      </c>
      <c r="F339" s="0" t="s">
        <v>687</v>
      </c>
      <c r="G339" s="0" t="s">
        <v>688</v>
      </c>
      <c r="H339" s="0">
        <v>12</v>
      </c>
      <c r="I339" s="0">
        <v>52</v>
      </c>
      <c r="J339" s="0">
        <v>2786</v>
      </c>
    </row>
    <row r="340">
      <c r="A340" s="0" t="s">
        <v>28</v>
      </c>
      <c r="B340" s="0" t="s">
        <v>30</v>
      </c>
      <c r="C340" s="0" t="s">
        <v>182</v>
      </c>
      <c r="D340" s="0" t="s">
        <v>289</v>
      </c>
      <c r="E340" s="0" t="s">
        <v>154</v>
      </c>
      <c r="F340" s="0" t="s">
        <v>689</v>
      </c>
      <c r="G340" s="0" t="s">
        <v>341</v>
      </c>
      <c r="H340" s="0">
        <v>12</v>
      </c>
      <c r="I340" s="0">
        <v>52</v>
      </c>
      <c r="J340" s="0">
        <v>2786</v>
      </c>
    </row>
    <row r="341">
      <c r="A341" s="0" t="s">
        <v>28</v>
      </c>
      <c r="B341" s="0" t="s">
        <v>30</v>
      </c>
      <c r="C341" s="0" t="s">
        <v>182</v>
      </c>
      <c r="D341" s="0" t="s">
        <v>289</v>
      </c>
      <c r="E341" s="0" t="s">
        <v>154</v>
      </c>
      <c r="F341" s="0" t="s">
        <v>690</v>
      </c>
      <c r="G341" s="0" t="s">
        <v>607</v>
      </c>
      <c r="H341" s="0">
        <v>12</v>
      </c>
      <c r="I341" s="0">
        <v>52</v>
      </c>
      <c r="J341" s="0">
        <v>2786</v>
      </c>
    </row>
    <row r="342">
      <c r="A342" s="0" t="s">
        <v>28</v>
      </c>
      <c r="B342" s="0" t="s">
        <v>30</v>
      </c>
      <c r="C342" s="0" t="s">
        <v>182</v>
      </c>
      <c r="D342" s="0" t="s">
        <v>289</v>
      </c>
      <c r="E342" s="0" t="s">
        <v>154</v>
      </c>
      <c r="F342" s="0" t="s">
        <v>691</v>
      </c>
      <c r="G342" s="0" t="s">
        <v>692</v>
      </c>
      <c r="H342" s="0">
        <v>12</v>
      </c>
      <c r="I342" s="0">
        <v>52</v>
      </c>
      <c r="J342" s="0">
        <v>2786</v>
      </c>
    </row>
    <row r="343">
      <c r="A343" s="0" t="s">
        <v>28</v>
      </c>
      <c r="B343" s="0" t="s">
        <v>30</v>
      </c>
      <c r="C343" s="0" t="s">
        <v>182</v>
      </c>
      <c r="D343" s="0" t="s">
        <v>289</v>
      </c>
      <c r="E343" s="0" t="s">
        <v>154</v>
      </c>
      <c r="F343" s="0" t="s">
        <v>693</v>
      </c>
      <c r="G343" s="0" t="s">
        <v>694</v>
      </c>
      <c r="H343" s="0">
        <v>12</v>
      </c>
      <c r="I343" s="0">
        <v>52</v>
      </c>
      <c r="J343" s="0">
        <v>2786</v>
      </c>
    </row>
    <row r="344">
      <c r="A344" s="0" t="s">
        <v>28</v>
      </c>
      <c r="B344" s="0" t="s">
        <v>30</v>
      </c>
      <c r="C344" s="0" t="s">
        <v>182</v>
      </c>
      <c r="D344" s="0" t="s">
        <v>289</v>
      </c>
      <c r="E344" s="0" t="s">
        <v>154</v>
      </c>
      <c r="F344" s="0" t="s">
        <v>695</v>
      </c>
      <c r="G344" s="0" t="s">
        <v>291</v>
      </c>
      <c r="H344" s="0">
        <v>12</v>
      </c>
      <c r="I344" s="0">
        <v>52</v>
      </c>
      <c r="J344" s="0">
        <v>2786</v>
      </c>
    </row>
    <row r="345">
      <c r="A345" s="0" t="s">
        <v>28</v>
      </c>
      <c r="B345" s="0" t="s">
        <v>30</v>
      </c>
      <c r="C345" s="0" t="s">
        <v>182</v>
      </c>
      <c r="D345" s="0" t="s">
        <v>289</v>
      </c>
      <c r="E345" s="0" t="s">
        <v>154</v>
      </c>
      <c r="F345" s="0" t="s">
        <v>696</v>
      </c>
      <c r="G345" s="0" t="s">
        <v>697</v>
      </c>
      <c r="H345" s="0">
        <v>12</v>
      </c>
      <c r="I345" s="0">
        <v>52</v>
      </c>
      <c r="J345" s="0">
        <v>2786</v>
      </c>
    </row>
    <row r="346">
      <c r="A346" s="0" t="s">
        <v>28</v>
      </c>
      <c r="B346" s="0" t="s">
        <v>30</v>
      </c>
      <c r="C346" s="0" t="s">
        <v>182</v>
      </c>
      <c r="D346" s="0" t="s">
        <v>289</v>
      </c>
      <c r="E346" s="0" t="s">
        <v>154</v>
      </c>
      <c r="F346" s="0" t="s">
        <v>698</v>
      </c>
      <c r="G346" s="0" t="s">
        <v>602</v>
      </c>
      <c r="H346" s="0">
        <v>12</v>
      </c>
      <c r="I346" s="0">
        <v>52</v>
      </c>
      <c r="J346" s="0">
        <v>2786</v>
      </c>
    </row>
    <row r="347">
      <c r="A347" s="0" t="s">
        <v>28</v>
      </c>
      <c r="B347" s="0" t="s">
        <v>30</v>
      </c>
      <c r="C347" s="0" t="s">
        <v>182</v>
      </c>
      <c r="D347" s="0" t="s">
        <v>289</v>
      </c>
      <c r="E347" s="0" t="s">
        <v>154</v>
      </c>
      <c r="F347" s="0" t="s">
        <v>699</v>
      </c>
      <c r="G347" s="0" t="s">
        <v>700</v>
      </c>
      <c r="H347" s="0">
        <v>12</v>
      </c>
      <c r="I347" s="0">
        <v>52</v>
      </c>
      <c r="J347" s="0">
        <v>2786</v>
      </c>
    </row>
    <row r="348">
      <c r="A348" s="0" t="s">
        <v>28</v>
      </c>
      <c r="B348" s="0" t="s">
        <v>30</v>
      </c>
      <c r="C348" s="0" t="s">
        <v>182</v>
      </c>
      <c r="D348" s="0" t="s">
        <v>289</v>
      </c>
      <c r="E348" s="0" t="s">
        <v>154</v>
      </c>
      <c r="F348" s="0" t="s">
        <v>701</v>
      </c>
      <c r="G348" s="0" t="s">
        <v>785</v>
      </c>
      <c r="H348" s="0">
        <v>12</v>
      </c>
      <c r="I348" s="0">
        <v>52</v>
      </c>
      <c r="J348" s="0">
        <v>2786</v>
      </c>
    </row>
    <row r="349">
      <c r="A349" s="0" t="s">
        <v>28</v>
      </c>
      <c r="B349" s="0" t="s">
        <v>30</v>
      </c>
      <c r="C349" s="0" t="s">
        <v>182</v>
      </c>
      <c r="D349" s="0" t="s">
        <v>289</v>
      </c>
      <c r="E349" s="0" t="s">
        <v>154</v>
      </c>
      <c r="F349" s="0" t="s">
        <v>703</v>
      </c>
      <c r="G349" s="0" t="s">
        <v>786</v>
      </c>
      <c r="H349" s="0">
        <v>12</v>
      </c>
      <c r="I349" s="0">
        <v>52</v>
      </c>
      <c r="J349" s="0">
        <v>2786</v>
      </c>
    </row>
    <row r="350">
      <c r="A350" s="0" t="s">
        <v>28</v>
      </c>
      <c r="B350" s="0" t="s">
        <v>30</v>
      </c>
      <c r="C350" s="0" t="s">
        <v>182</v>
      </c>
      <c r="D350" s="0" t="s">
        <v>289</v>
      </c>
      <c r="E350" s="0" t="s">
        <v>154</v>
      </c>
      <c r="F350" s="0" t="s">
        <v>705</v>
      </c>
      <c r="G350" s="0" t="s">
        <v>360</v>
      </c>
      <c r="H350" s="0">
        <v>12</v>
      </c>
      <c r="I350" s="0">
        <v>52</v>
      </c>
      <c r="J350" s="0">
        <v>2786</v>
      </c>
    </row>
    <row r="351">
      <c r="A351" s="0" t="s">
        <v>28</v>
      </c>
      <c r="B351" s="0" t="s">
        <v>30</v>
      </c>
      <c r="C351" s="0" t="s">
        <v>182</v>
      </c>
      <c r="D351" s="0" t="s">
        <v>289</v>
      </c>
      <c r="E351" s="0" t="s">
        <v>154</v>
      </c>
      <c r="F351" s="0" t="s">
        <v>706</v>
      </c>
      <c r="G351" s="0" t="s">
        <v>787</v>
      </c>
      <c r="H351" s="0">
        <v>12</v>
      </c>
      <c r="I351" s="0">
        <v>52</v>
      </c>
      <c r="J351" s="0">
        <v>2786</v>
      </c>
    </row>
    <row r="352">
      <c r="A352" s="0" t="s">
        <v>28</v>
      </c>
      <c r="B352" s="0" t="s">
        <v>30</v>
      </c>
      <c r="C352" s="0" t="s">
        <v>182</v>
      </c>
      <c r="D352" s="0" t="s">
        <v>289</v>
      </c>
      <c r="E352" s="0" t="s">
        <v>154</v>
      </c>
      <c r="F352" s="0" t="s">
        <v>708</v>
      </c>
      <c r="G352" s="0" t="s">
        <v>755</v>
      </c>
      <c r="H352" s="0">
        <v>12</v>
      </c>
      <c r="I352" s="0">
        <v>52</v>
      </c>
      <c r="J352" s="0">
        <v>2786</v>
      </c>
    </row>
    <row r="353">
      <c r="A353" s="0" t="s">
        <v>28</v>
      </c>
      <c r="B353" s="0" t="s">
        <v>30</v>
      </c>
      <c r="C353" s="0" t="s">
        <v>184</v>
      </c>
      <c r="D353" s="0" t="s">
        <v>293</v>
      </c>
      <c r="E353" s="0" t="s">
        <v>154</v>
      </c>
      <c r="F353" s="0" t="s">
        <v>572</v>
      </c>
      <c r="G353" s="0" t="s">
        <v>573</v>
      </c>
      <c r="H353" s="0">
        <v>12</v>
      </c>
      <c r="I353" s="0">
        <v>51</v>
      </c>
      <c r="J353" s="0">
        <v>2785</v>
      </c>
    </row>
    <row r="354">
      <c r="A354" s="0" t="s">
        <v>28</v>
      </c>
      <c r="B354" s="0" t="s">
        <v>30</v>
      </c>
      <c r="C354" s="0" t="s">
        <v>184</v>
      </c>
      <c r="D354" s="0" t="s">
        <v>293</v>
      </c>
      <c r="E354" s="0" t="s">
        <v>154</v>
      </c>
      <c r="F354" s="0" t="s">
        <v>574</v>
      </c>
      <c r="G354" s="0" t="s">
        <v>341</v>
      </c>
      <c r="H354" s="0">
        <v>12</v>
      </c>
      <c r="I354" s="0">
        <v>51</v>
      </c>
      <c r="J354" s="0">
        <v>2785</v>
      </c>
    </row>
    <row r="355">
      <c r="A355" s="0" t="s">
        <v>28</v>
      </c>
      <c r="B355" s="0" t="s">
        <v>30</v>
      </c>
      <c r="C355" s="0" t="s">
        <v>184</v>
      </c>
      <c r="D355" s="0" t="s">
        <v>293</v>
      </c>
      <c r="E355" s="0" t="s">
        <v>154</v>
      </c>
      <c r="F355" s="0" t="s">
        <v>575</v>
      </c>
      <c r="G355" s="0" t="s">
        <v>365</v>
      </c>
      <c r="H355" s="0">
        <v>12</v>
      </c>
      <c r="I355" s="0">
        <v>51</v>
      </c>
      <c r="J355" s="0">
        <v>2785</v>
      </c>
    </row>
    <row r="356">
      <c r="A356" s="0" t="s">
        <v>28</v>
      </c>
      <c r="B356" s="0" t="s">
        <v>30</v>
      </c>
      <c r="C356" s="0" t="s">
        <v>184</v>
      </c>
      <c r="D356" s="0" t="s">
        <v>293</v>
      </c>
      <c r="E356" s="0" t="s">
        <v>154</v>
      </c>
      <c r="F356" s="0" t="s">
        <v>576</v>
      </c>
      <c r="G356" s="0" t="s">
        <v>788</v>
      </c>
      <c r="H356" s="0">
        <v>12</v>
      </c>
      <c r="I356" s="0">
        <v>51</v>
      </c>
      <c r="J356" s="0">
        <v>2785</v>
      </c>
    </row>
    <row r="357">
      <c r="A357" s="0" t="s">
        <v>28</v>
      </c>
      <c r="B357" s="0" t="s">
        <v>30</v>
      </c>
      <c r="C357" s="0" t="s">
        <v>184</v>
      </c>
      <c r="D357" s="0" t="s">
        <v>293</v>
      </c>
      <c r="E357" s="0" t="s">
        <v>154</v>
      </c>
      <c r="F357" s="0" t="s">
        <v>578</v>
      </c>
      <c r="G357" s="0" t="s">
        <v>789</v>
      </c>
      <c r="H357" s="0">
        <v>12</v>
      </c>
      <c r="I357" s="0">
        <v>51</v>
      </c>
      <c r="J357" s="0">
        <v>2785</v>
      </c>
    </row>
    <row r="358">
      <c r="A358" s="0" t="s">
        <v>28</v>
      </c>
      <c r="B358" s="0" t="s">
        <v>30</v>
      </c>
      <c r="C358" s="0" t="s">
        <v>184</v>
      </c>
      <c r="D358" s="0" t="s">
        <v>293</v>
      </c>
      <c r="E358" s="0" t="s">
        <v>154</v>
      </c>
      <c r="F358" s="0" t="s">
        <v>580</v>
      </c>
      <c r="G358" s="0" t="s">
        <v>790</v>
      </c>
      <c r="H358" s="0">
        <v>12</v>
      </c>
      <c r="I358" s="0">
        <v>51</v>
      </c>
      <c r="J358" s="0">
        <v>2785</v>
      </c>
    </row>
    <row r="359">
      <c r="A359" s="0" t="s">
        <v>28</v>
      </c>
      <c r="B359" s="0" t="s">
        <v>30</v>
      </c>
      <c r="C359" s="0" t="s">
        <v>184</v>
      </c>
      <c r="D359" s="0" t="s">
        <v>293</v>
      </c>
      <c r="E359" s="0" t="s">
        <v>154</v>
      </c>
      <c r="F359" s="0" t="s">
        <v>582</v>
      </c>
      <c r="G359" s="0" t="s">
        <v>791</v>
      </c>
      <c r="H359" s="0">
        <v>12</v>
      </c>
      <c r="I359" s="0">
        <v>51</v>
      </c>
      <c r="J359" s="0">
        <v>2785</v>
      </c>
    </row>
    <row r="360">
      <c r="A360" s="0" t="s">
        <v>28</v>
      </c>
      <c r="B360" s="0" t="s">
        <v>30</v>
      </c>
      <c r="C360" s="0" t="s">
        <v>184</v>
      </c>
      <c r="D360" s="0" t="s">
        <v>293</v>
      </c>
      <c r="E360" s="0" t="s">
        <v>154</v>
      </c>
      <c r="F360" s="0" t="s">
        <v>584</v>
      </c>
      <c r="G360" s="0" t="s">
        <v>792</v>
      </c>
      <c r="H360" s="0">
        <v>12</v>
      </c>
      <c r="I360" s="0">
        <v>51</v>
      </c>
      <c r="J360" s="0">
        <v>2785</v>
      </c>
    </row>
    <row r="361">
      <c r="A361" s="0" t="s">
        <v>28</v>
      </c>
      <c r="B361" s="0" t="s">
        <v>30</v>
      </c>
      <c r="C361" s="0" t="s">
        <v>184</v>
      </c>
      <c r="D361" s="0" t="s">
        <v>293</v>
      </c>
      <c r="E361" s="0" t="s">
        <v>154</v>
      </c>
      <c r="F361" s="0" t="s">
        <v>586</v>
      </c>
      <c r="G361" s="0" t="s">
        <v>587</v>
      </c>
      <c r="H361" s="0">
        <v>12</v>
      </c>
      <c r="I361" s="0">
        <v>51</v>
      </c>
      <c r="J361" s="0">
        <v>2785</v>
      </c>
    </row>
    <row r="362">
      <c r="A362" s="0" t="s">
        <v>28</v>
      </c>
      <c r="B362" s="0" t="s">
        <v>30</v>
      </c>
      <c r="C362" s="0" t="s">
        <v>184</v>
      </c>
      <c r="D362" s="0" t="s">
        <v>293</v>
      </c>
      <c r="E362" s="0" t="s">
        <v>154</v>
      </c>
      <c r="F362" s="0" t="s">
        <v>588</v>
      </c>
      <c r="G362" s="0" t="s">
        <v>793</v>
      </c>
      <c r="H362" s="0">
        <v>12</v>
      </c>
      <c r="I362" s="0">
        <v>51</v>
      </c>
      <c r="J362" s="0">
        <v>2785</v>
      </c>
    </row>
    <row r="363">
      <c r="A363" s="0" t="s">
        <v>28</v>
      </c>
      <c r="B363" s="0" t="s">
        <v>30</v>
      </c>
      <c r="C363" s="0" t="s">
        <v>184</v>
      </c>
      <c r="D363" s="0" t="s">
        <v>293</v>
      </c>
      <c r="E363" s="0" t="s">
        <v>154</v>
      </c>
      <c r="F363" s="0" t="s">
        <v>590</v>
      </c>
      <c r="G363" s="0" t="s">
        <v>794</v>
      </c>
      <c r="H363" s="0">
        <v>12</v>
      </c>
      <c r="I363" s="0">
        <v>51</v>
      </c>
      <c r="J363" s="0">
        <v>2785</v>
      </c>
    </row>
    <row r="364">
      <c r="A364" s="0" t="s">
        <v>28</v>
      </c>
      <c r="B364" s="0" t="s">
        <v>30</v>
      </c>
      <c r="C364" s="0" t="s">
        <v>184</v>
      </c>
      <c r="D364" s="0" t="s">
        <v>293</v>
      </c>
      <c r="E364" s="0" t="s">
        <v>154</v>
      </c>
      <c r="F364" s="0" t="s">
        <v>592</v>
      </c>
      <c r="G364" s="0" t="s">
        <v>498</v>
      </c>
      <c r="H364" s="0">
        <v>12</v>
      </c>
      <c r="I364" s="0">
        <v>51</v>
      </c>
      <c r="J364" s="0">
        <v>2785</v>
      </c>
    </row>
    <row r="365">
      <c r="A365" s="0" t="s">
        <v>28</v>
      </c>
      <c r="B365" s="0" t="s">
        <v>30</v>
      </c>
      <c r="C365" s="0" t="s">
        <v>184</v>
      </c>
      <c r="D365" s="0" t="s">
        <v>293</v>
      </c>
      <c r="E365" s="0" t="s">
        <v>154</v>
      </c>
      <c r="F365" s="0" t="s">
        <v>593</v>
      </c>
      <c r="G365" s="0" t="s">
        <v>795</v>
      </c>
      <c r="H365" s="0">
        <v>12</v>
      </c>
      <c r="I365" s="0">
        <v>51</v>
      </c>
      <c r="J365" s="0">
        <v>2785</v>
      </c>
    </row>
    <row r="366">
      <c r="A366" s="0" t="s">
        <v>28</v>
      </c>
      <c r="B366" s="0" t="s">
        <v>30</v>
      </c>
      <c r="C366" s="0" t="s">
        <v>184</v>
      </c>
      <c r="D366" s="0" t="s">
        <v>293</v>
      </c>
      <c r="E366" s="0" t="s">
        <v>154</v>
      </c>
      <c r="F366" s="0" t="s">
        <v>595</v>
      </c>
      <c r="G366" s="0" t="s">
        <v>796</v>
      </c>
      <c r="H366" s="0">
        <v>12</v>
      </c>
      <c r="I366" s="0">
        <v>51</v>
      </c>
      <c r="J366" s="0">
        <v>2785</v>
      </c>
    </row>
    <row r="367">
      <c r="A367" s="0" t="s">
        <v>28</v>
      </c>
      <c r="B367" s="0" t="s">
        <v>30</v>
      </c>
      <c r="C367" s="0" t="s">
        <v>184</v>
      </c>
      <c r="D367" s="0" t="s">
        <v>293</v>
      </c>
      <c r="E367" s="0" t="s">
        <v>154</v>
      </c>
      <c r="F367" s="0" t="s">
        <v>597</v>
      </c>
      <c r="G367" s="0" t="s">
        <v>797</v>
      </c>
      <c r="H367" s="0">
        <v>12</v>
      </c>
      <c r="I367" s="0">
        <v>51</v>
      </c>
      <c r="J367" s="0">
        <v>2785</v>
      </c>
    </row>
    <row r="368">
      <c r="A368" s="0" t="s">
        <v>28</v>
      </c>
      <c r="B368" s="0" t="s">
        <v>30</v>
      </c>
      <c r="C368" s="0" t="s">
        <v>184</v>
      </c>
      <c r="D368" s="0" t="s">
        <v>293</v>
      </c>
      <c r="E368" s="0" t="s">
        <v>154</v>
      </c>
      <c r="F368" s="0" t="s">
        <v>599</v>
      </c>
      <c r="G368" s="0" t="s">
        <v>600</v>
      </c>
      <c r="H368" s="0">
        <v>12</v>
      </c>
      <c r="I368" s="0">
        <v>51</v>
      </c>
      <c r="J368" s="0">
        <v>2785</v>
      </c>
    </row>
    <row r="369">
      <c r="A369" s="0" t="s">
        <v>28</v>
      </c>
      <c r="B369" s="0" t="s">
        <v>30</v>
      </c>
      <c r="C369" s="0" t="s">
        <v>184</v>
      </c>
      <c r="D369" s="0" t="s">
        <v>293</v>
      </c>
      <c r="E369" s="0" t="s">
        <v>154</v>
      </c>
      <c r="F369" s="0" t="s">
        <v>601</v>
      </c>
      <c r="G369" s="0" t="s">
        <v>602</v>
      </c>
      <c r="H369" s="0">
        <v>12</v>
      </c>
      <c r="I369" s="0">
        <v>51</v>
      </c>
      <c r="J369" s="0">
        <v>2785</v>
      </c>
    </row>
    <row r="370">
      <c r="A370" s="0" t="s">
        <v>28</v>
      </c>
      <c r="B370" s="0" t="s">
        <v>30</v>
      </c>
      <c r="C370" s="0" t="s">
        <v>184</v>
      </c>
      <c r="D370" s="0" t="s">
        <v>293</v>
      </c>
      <c r="E370" s="0" t="s">
        <v>154</v>
      </c>
      <c r="F370" s="0" t="s">
        <v>603</v>
      </c>
      <c r="G370" s="0" t="s">
        <v>798</v>
      </c>
      <c r="H370" s="0">
        <v>12</v>
      </c>
      <c r="I370" s="0">
        <v>51</v>
      </c>
      <c r="J370" s="0">
        <v>2785</v>
      </c>
    </row>
    <row r="371">
      <c r="A371" s="0" t="s">
        <v>28</v>
      </c>
      <c r="B371" s="0" t="s">
        <v>30</v>
      </c>
      <c r="C371" s="0" t="s">
        <v>184</v>
      </c>
      <c r="D371" s="0" t="s">
        <v>293</v>
      </c>
      <c r="E371" s="0" t="s">
        <v>154</v>
      </c>
      <c r="F371" s="0" t="s">
        <v>605</v>
      </c>
      <c r="G371" s="0" t="s">
        <v>114</v>
      </c>
      <c r="H371" s="0">
        <v>12</v>
      </c>
      <c r="I371" s="0">
        <v>51</v>
      </c>
      <c r="J371" s="0">
        <v>2785</v>
      </c>
    </row>
    <row r="372">
      <c r="A372" s="0" t="s">
        <v>28</v>
      </c>
      <c r="B372" s="0" t="s">
        <v>30</v>
      </c>
      <c r="C372" s="0" t="s">
        <v>184</v>
      </c>
      <c r="D372" s="0" t="s">
        <v>293</v>
      </c>
      <c r="E372" s="0" t="s">
        <v>154</v>
      </c>
      <c r="F372" s="0" t="s">
        <v>606</v>
      </c>
      <c r="G372" s="0" t="s">
        <v>607</v>
      </c>
      <c r="H372" s="0">
        <v>12</v>
      </c>
      <c r="I372" s="0">
        <v>51</v>
      </c>
      <c r="J372" s="0">
        <v>2785</v>
      </c>
    </row>
    <row r="373">
      <c r="A373" s="0" t="s">
        <v>28</v>
      </c>
      <c r="B373" s="0" t="s">
        <v>30</v>
      </c>
      <c r="C373" s="0" t="s">
        <v>184</v>
      </c>
      <c r="D373" s="0" t="s">
        <v>293</v>
      </c>
      <c r="E373" s="0" t="s">
        <v>154</v>
      </c>
      <c r="F373" s="0" t="s">
        <v>608</v>
      </c>
      <c r="G373" s="0" t="s">
        <v>797</v>
      </c>
      <c r="H373" s="0">
        <v>12</v>
      </c>
      <c r="I373" s="0">
        <v>51</v>
      </c>
      <c r="J373" s="0">
        <v>2785</v>
      </c>
    </row>
    <row r="374">
      <c r="A374" s="0" t="s">
        <v>28</v>
      </c>
      <c r="B374" s="0" t="s">
        <v>30</v>
      </c>
      <c r="C374" s="0" t="s">
        <v>184</v>
      </c>
      <c r="D374" s="0" t="s">
        <v>293</v>
      </c>
      <c r="E374" s="0" t="s">
        <v>154</v>
      </c>
      <c r="F374" s="0" t="s">
        <v>609</v>
      </c>
      <c r="G374" s="0" t="s">
        <v>341</v>
      </c>
      <c r="H374" s="0">
        <v>12</v>
      </c>
      <c r="I374" s="0">
        <v>51</v>
      </c>
      <c r="J374" s="0">
        <v>2785</v>
      </c>
    </row>
    <row r="375">
      <c r="A375" s="0" t="s">
        <v>28</v>
      </c>
      <c r="B375" s="0" t="s">
        <v>30</v>
      </c>
      <c r="C375" s="0" t="s">
        <v>184</v>
      </c>
      <c r="D375" s="0" t="s">
        <v>293</v>
      </c>
      <c r="E375" s="0" t="s">
        <v>154</v>
      </c>
      <c r="F375" s="0" t="s">
        <v>610</v>
      </c>
      <c r="G375" s="0" t="s">
        <v>799</v>
      </c>
      <c r="H375" s="0">
        <v>12</v>
      </c>
      <c r="I375" s="0">
        <v>51</v>
      </c>
      <c r="J375" s="0">
        <v>2785</v>
      </c>
    </row>
    <row r="376">
      <c r="A376" s="0" t="s">
        <v>28</v>
      </c>
      <c r="B376" s="0" t="s">
        <v>30</v>
      </c>
      <c r="C376" s="0" t="s">
        <v>184</v>
      </c>
      <c r="D376" s="0" t="s">
        <v>293</v>
      </c>
      <c r="E376" s="0" t="s">
        <v>154</v>
      </c>
      <c r="F376" s="0" t="s">
        <v>612</v>
      </c>
      <c r="G376" s="0" t="s">
        <v>800</v>
      </c>
      <c r="H376" s="0">
        <v>12</v>
      </c>
      <c r="I376" s="0">
        <v>51</v>
      </c>
      <c r="J376" s="0">
        <v>2785</v>
      </c>
    </row>
    <row r="377">
      <c r="A377" s="0" t="s">
        <v>28</v>
      </c>
      <c r="B377" s="0" t="s">
        <v>30</v>
      </c>
      <c r="C377" s="0" t="s">
        <v>184</v>
      </c>
      <c r="D377" s="0" t="s">
        <v>293</v>
      </c>
      <c r="E377" s="0" t="s">
        <v>154</v>
      </c>
      <c r="F377" s="0" t="s">
        <v>614</v>
      </c>
      <c r="G377" s="0" t="s">
        <v>801</v>
      </c>
      <c r="H377" s="0">
        <v>12</v>
      </c>
      <c r="I377" s="0">
        <v>51</v>
      </c>
      <c r="J377" s="0">
        <v>2785</v>
      </c>
    </row>
    <row r="378">
      <c r="A378" s="0" t="s">
        <v>28</v>
      </c>
      <c r="B378" s="0" t="s">
        <v>30</v>
      </c>
      <c r="C378" s="0" t="s">
        <v>184</v>
      </c>
      <c r="D378" s="0" t="s">
        <v>293</v>
      </c>
      <c r="E378" s="0" t="s">
        <v>154</v>
      </c>
      <c r="F378" s="0" t="s">
        <v>616</v>
      </c>
      <c r="G378" s="0" t="s">
        <v>802</v>
      </c>
      <c r="H378" s="0">
        <v>12</v>
      </c>
      <c r="I378" s="0">
        <v>51</v>
      </c>
      <c r="J378" s="0">
        <v>2785</v>
      </c>
    </row>
    <row r="379">
      <c r="A379" s="0" t="s">
        <v>28</v>
      </c>
      <c r="B379" s="0" t="s">
        <v>30</v>
      </c>
      <c r="C379" s="0" t="s">
        <v>184</v>
      </c>
      <c r="D379" s="0" t="s">
        <v>293</v>
      </c>
      <c r="E379" s="0" t="s">
        <v>154</v>
      </c>
      <c r="F379" s="0" t="s">
        <v>618</v>
      </c>
      <c r="G379" s="0" t="s">
        <v>602</v>
      </c>
      <c r="H379" s="0">
        <v>12</v>
      </c>
      <c r="I379" s="0">
        <v>51</v>
      </c>
      <c r="J379" s="0">
        <v>2785</v>
      </c>
    </row>
    <row r="380">
      <c r="A380" s="0" t="s">
        <v>28</v>
      </c>
      <c r="B380" s="0" t="s">
        <v>30</v>
      </c>
      <c r="C380" s="0" t="s">
        <v>184</v>
      </c>
      <c r="D380" s="0" t="s">
        <v>293</v>
      </c>
      <c r="E380" s="0" t="s">
        <v>154</v>
      </c>
      <c r="F380" s="0" t="s">
        <v>619</v>
      </c>
      <c r="G380" s="0" t="s">
        <v>549</v>
      </c>
      <c r="H380" s="0">
        <v>12</v>
      </c>
      <c r="I380" s="0">
        <v>51</v>
      </c>
      <c r="J380" s="0">
        <v>2785</v>
      </c>
    </row>
    <row r="381">
      <c r="A381" s="0" t="s">
        <v>28</v>
      </c>
      <c r="B381" s="0" t="s">
        <v>30</v>
      </c>
      <c r="C381" s="0" t="s">
        <v>184</v>
      </c>
      <c r="D381" s="0" t="s">
        <v>293</v>
      </c>
      <c r="E381" s="0" t="s">
        <v>154</v>
      </c>
      <c r="F381" s="0" t="s">
        <v>620</v>
      </c>
      <c r="G381" s="0" t="s">
        <v>114</v>
      </c>
      <c r="H381" s="0">
        <v>12</v>
      </c>
      <c r="I381" s="0">
        <v>51</v>
      </c>
      <c r="J381" s="0">
        <v>2785</v>
      </c>
    </row>
    <row r="382">
      <c r="A382" s="0" t="s">
        <v>28</v>
      </c>
      <c r="B382" s="0" t="s">
        <v>30</v>
      </c>
      <c r="C382" s="0" t="s">
        <v>184</v>
      </c>
      <c r="D382" s="0" t="s">
        <v>293</v>
      </c>
      <c r="E382" s="0" t="s">
        <v>154</v>
      </c>
      <c r="F382" s="0" t="s">
        <v>621</v>
      </c>
      <c r="G382" s="0" t="s">
        <v>803</v>
      </c>
      <c r="H382" s="0">
        <v>12</v>
      </c>
      <c r="I382" s="0">
        <v>51</v>
      </c>
      <c r="J382" s="0">
        <v>2785</v>
      </c>
    </row>
    <row r="383">
      <c r="A383" s="0" t="s">
        <v>28</v>
      </c>
      <c r="B383" s="0" t="s">
        <v>30</v>
      </c>
      <c r="C383" s="0" t="s">
        <v>184</v>
      </c>
      <c r="D383" s="0" t="s">
        <v>293</v>
      </c>
      <c r="E383" s="0" t="s">
        <v>154</v>
      </c>
      <c r="F383" s="0" t="s">
        <v>623</v>
      </c>
      <c r="G383" s="0" t="s">
        <v>804</v>
      </c>
      <c r="H383" s="0">
        <v>12</v>
      </c>
      <c r="I383" s="0">
        <v>51</v>
      </c>
      <c r="J383" s="0">
        <v>2785</v>
      </c>
    </row>
    <row r="384">
      <c r="A384" s="0" t="s">
        <v>28</v>
      </c>
      <c r="B384" s="0" t="s">
        <v>30</v>
      </c>
      <c r="C384" s="0" t="s">
        <v>184</v>
      </c>
      <c r="D384" s="0" t="s">
        <v>293</v>
      </c>
      <c r="E384" s="0" t="s">
        <v>154</v>
      </c>
      <c r="F384" s="0" t="s">
        <v>625</v>
      </c>
      <c r="G384" s="0" t="s">
        <v>805</v>
      </c>
      <c r="H384" s="0">
        <v>12</v>
      </c>
      <c r="I384" s="0">
        <v>51</v>
      </c>
      <c r="J384" s="0">
        <v>2785</v>
      </c>
    </row>
    <row r="385">
      <c r="A385" s="0" t="s">
        <v>28</v>
      </c>
      <c r="B385" s="0" t="s">
        <v>30</v>
      </c>
      <c r="C385" s="0" t="s">
        <v>184</v>
      </c>
      <c r="D385" s="0" t="s">
        <v>293</v>
      </c>
      <c r="E385" s="0" t="s">
        <v>154</v>
      </c>
      <c r="F385" s="0" t="s">
        <v>627</v>
      </c>
      <c r="G385" s="0" t="s">
        <v>628</v>
      </c>
      <c r="H385" s="0">
        <v>12</v>
      </c>
      <c r="I385" s="0">
        <v>51</v>
      </c>
      <c r="J385" s="0">
        <v>2785</v>
      </c>
    </row>
    <row r="386">
      <c r="A386" s="0" t="s">
        <v>28</v>
      </c>
      <c r="B386" s="0" t="s">
        <v>30</v>
      </c>
      <c r="C386" s="0" t="s">
        <v>184</v>
      </c>
      <c r="D386" s="0" t="s">
        <v>293</v>
      </c>
      <c r="E386" s="0" t="s">
        <v>154</v>
      </c>
      <c r="F386" s="0" t="s">
        <v>629</v>
      </c>
      <c r="G386" s="0" t="s">
        <v>630</v>
      </c>
      <c r="H386" s="0">
        <v>12</v>
      </c>
      <c r="I386" s="0">
        <v>51</v>
      </c>
      <c r="J386" s="0">
        <v>2785</v>
      </c>
    </row>
    <row r="387">
      <c r="A387" s="0" t="s">
        <v>28</v>
      </c>
      <c r="B387" s="0" t="s">
        <v>30</v>
      </c>
      <c r="C387" s="0" t="s">
        <v>184</v>
      </c>
      <c r="D387" s="0" t="s">
        <v>293</v>
      </c>
      <c r="E387" s="0" t="s">
        <v>154</v>
      </c>
      <c r="F387" s="0" t="s">
        <v>631</v>
      </c>
      <c r="G387" s="0" t="s">
        <v>550</v>
      </c>
      <c r="H387" s="0">
        <v>12</v>
      </c>
      <c r="I387" s="0">
        <v>51</v>
      </c>
      <c r="J387" s="0">
        <v>2785</v>
      </c>
    </row>
    <row r="388">
      <c r="A388" s="0" t="s">
        <v>28</v>
      </c>
      <c r="B388" s="0" t="s">
        <v>30</v>
      </c>
      <c r="C388" s="0" t="s">
        <v>184</v>
      </c>
      <c r="D388" s="0" t="s">
        <v>293</v>
      </c>
      <c r="E388" s="0" t="s">
        <v>154</v>
      </c>
      <c r="F388" s="0" t="s">
        <v>632</v>
      </c>
      <c r="G388" s="0" t="s">
        <v>284</v>
      </c>
      <c r="H388" s="0">
        <v>12</v>
      </c>
      <c r="I388" s="0">
        <v>51</v>
      </c>
      <c r="J388" s="0">
        <v>2785</v>
      </c>
    </row>
    <row r="389">
      <c r="A389" s="0" t="s">
        <v>28</v>
      </c>
      <c r="B389" s="0" t="s">
        <v>30</v>
      </c>
      <c r="C389" s="0" t="s">
        <v>184</v>
      </c>
      <c r="D389" s="0" t="s">
        <v>293</v>
      </c>
      <c r="E389" s="0" t="s">
        <v>154</v>
      </c>
      <c r="F389" s="0" t="s">
        <v>633</v>
      </c>
      <c r="G389" s="0" t="s">
        <v>634</v>
      </c>
      <c r="H389" s="0">
        <v>12</v>
      </c>
      <c r="I389" s="0">
        <v>51</v>
      </c>
      <c r="J389" s="0">
        <v>2785</v>
      </c>
    </row>
    <row r="390">
      <c r="A390" s="0" t="s">
        <v>28</v>
      </c>
      <c r="B390" s="0" t="s">
        <v>30</v>
      </c>
      <c r="C390" s="0" t="s">
        <v>184</v>
      </c>
      <c r="D390" s="0" t="s">
        <v>293</v>
      </c>
      <c r="E390" s="0" t="s">
        <v>154</v>
      </c>
      <c r="F390" s="0" t="s">
        <v>635</v>
      </c>
      <c r="G390" s="0" t="s">
        <v>634</v>
      </c>
      <c r="H390" s="0">
        <v>12</v>
      </c>
      <c r="I390" s="0">
        <v>51</v>
      </c>
      <c r="J390" s="0">
        <v>2785</v>
      </c>
    </row>
    <row r="391">
      <c r="A391" s="0" t="s">
        <v>28</v>
      </c>
      <c r="B391" s="0" t="s">
        <v>30</v>
      </c>
      <c r="C391" s="0" t="s">
        <v>184</v>
      </c>
      <c r="D391" s="0" t="s">
        <v>293</v>
      </c>
      <c r="E391" s="0" t="s">
        <v>154</v>
      </c>
      <c r="F391" s="0" t="s">
        <v>636</v>
      </c>
      <c r="G391" s="0" t="s">
        <v>114</v>
      </c>
      <c r="H391" s="0">
        <v>12</v>
      </c>
      <c r="I391" s="0">
        <v>51</v>
      </c>
      <c r="J391" s="0">
        <v>2785</v>
      </c>
    </row>
    <row r="392">
      <c r="A392" s="0" t="s">
        <v>28</v>
      </c>
      <c r="B392" s="0" t="s">
        <v>30</v>
      </c>
      <c r="C392" s="0" t="s">
        <v>184</v>
      </c>
      <c r="D392" s="0" t="s">
        <v>293</v>
      </c>
      <c r="E392" s="0" t="s">
        <v>154</v>
      </c>
      <c r="F392" s="0" t="s">
        <v>637</v>
      </c>
      <c r="G392" s="0" t="s">
        <v>607</v>
      </c>
      <c r="H392" s="0">
        <v>12</v>
      </c>
      <c r="I392" s="0">
        <v>51</v>
      </c>
      <c r="J392" s="0">
        <v>2785</v>
      </c>
    </row>
    <row r="393">
      <c r="A393" s="0" t="s">
        <v>28</v>
      </c>
      <c r="B393" s="0" t="s">
        <v>30</v>
      </c>
      <c r="C393" s="0" t="s">
        <v>184</v>
      </c>
      <c r="D393" s="0" t="s">
        <v>293</v>
      </c>
      <c r="E393" s="0" t="s">
        <v>154</v>
      </c>
      <c r="F393" s="0" t="s">
        <v>638</v>
      </c>
      <c r="G393" s="0" t="s">
        <v>806</v>
      </c>
      <c r="H393" s="0">
        <v>12</v>
      </c>
      <c r="I393" s="0">
        <v>51</v>
      </c>
      <c r="J393" s="0">
        <v>2785</v>
      </c>
    </row>
    <row r="394">
      <c r="A394" s="0" t="s">
        <v>28</v>
      </c>
      <c r="B394" s="0" t="s">
        <v>30</v>
      </c>
      <c r="C394" s="0" t="s">
        <v>184</v>
      </c>
      <c r="D394" s="0" t="s">
        <v>293</v>
      </c>
      <c r="E394" s="0" t="s">
        <v>154</v>
      </c>
      <c r="F394" s="0" t="s">
        <v>640</v>
      </c>
      <c r="G394" s="0" t="s">
        <v>114</v>
      </c>
      <c r="H394" s="0">
        <v>12</v>
      </c>
      <c r="I394" s="0">
        <v>51</v>
      </c>
      <c r="J394" s="0">
        <v>2785</v>
      </c>
    </row>
    <row r="395">
      <c r="A395" s="0" t="s">
        <v>28</v>
      </c>
      <c r="B395" s="0" t="s">
        <v>30</v>
      </c>
      <c r="C395" s="0" t="s">
        <v>184</v>
      </c>
      <c r="D395" s="0" t="s">
        <v>293</v>
      </c>
      <c r="E395" s="0" t="s">
        <v>154</v>
      </c>
      <c r="F395" s="0" t="s">
        <v>641</v>
      </c>
      <c r="G395" s="0" t="s">
        <v>807</v>
      </c>
      <c r="H395" s="0">
        <v>12</v>
      </c>
      <c r="I395" s="0">
        <v>51</v>
      </c>
      <c r="J395" s="0">
        <v>2785</v>
      </c>
    </row>
    <row r="396">
      <c r="A396" s="0" t="s">
        <v>28</v>
      </c>
      <c r="B396" s="0" t="s">
        <v>30</v>
      </c>
      <c r="C396" s="0" t="s">
        <v>184</v>
      </c>
      <c r="D396" s="0" t="s">
        <v>293</v>
      </c>
      <c r="E396" s="0" t="s">
        <v>154</v>
      </c>
      <c r="F396" s="0" t="s">
        <v>643</v>
      </c>
      <c r="G396" s="0" t="s">
        <v>114</v>
      </c>
      <c r="H396" s="0">
        <v>12</v>
      </c>
      <c r="I396" s="0">
        <v>51</v>
      </c>
      <c r="J396" s="0">
        <v>2785</v>
      </c>
    </row>
    <row r="397">
      <c r="A397" s="0" t="s">
        <v>28</v>
      </c>
      <c r="B397" s="0" t="s">
        <v>30</v>
      </c>
      <c r="C397" s="0" t="s">
        <v>184</v>
      </c>
      <c r="D397" s="0" t="s">
        <v>293</v>
      </c>
      <c r="E397" s="0" t="s">
        <v>154</v>
      </c>
      <c r="F397" s="0" t="s">
        <v>644</v>
      </c>
      <c r="G397" s="0" t="s">
        <v>341</v>
      </c>
      <c r="H397" s="0">
        <v>12</v>
      </c>
      <c r="I397" s="0">
        <v>51</v>
      </c>
      <c r="J397" s="0">
        <v>2785</v>
      </c>
    </row>
    <row r="398">
      <c r="A398" s="0" t="s">
        <v>28</v>
      </c>
      <c r="B398" s="0" t="s">
        <v>30</v>
      </c>
      <c r="C398" s="0" t="s">
        <v>184</v>
      </c>
      <c r="D398" s="0" t="s">
        <v>293</v>
      </c>
      <c r="E398" s="0" t="s">
        <v>154</v>
      </c>
      <c r="F398" s="0" t="s">
        <v>645</v>
      </c>
      <c r="G398" s="0" t="s">
        <v>646</v>
      </c>
      <c r="H398" s="0">
        <v>12</v>
      </c>
      <c r="I398" s="0">
        <v>51</v>
      </c>
      <c r="J398" s="0">
        <v>2785</v>
      </c>
    </row>
    <row r="399">
      <c r="A399" s="0" t="s">
        <v>28</v>
      </c>
      <c r="B399" s="0" t="s">
        <v>30</v>
      </c>
      <c r="C399" s="0" t="s">
        <v>184</v>
      </c>
      <c r="D399" s="0" t="s">
        <v>293</v>
      </c>
      <c r="E399" s="0" t="s">
        <v>154</v>
      </c>
      <c r="F399" s="0" t="s">
        <v>647</v>
      </c>
      <c r="G399" s="0" t="s">
        <v>648</v>
      </c>
      <c r="H399" s="0">
        <v>12</v>
      </c>
      <c r="I399" s="0">
        <v>51</v>
      </c>
      <c r="J399" s="0">
        <v>2785</v>
      </c>
    </row>
    <row r="400">
      <c r="A400" s="0" t="s">
        <v>28</v>
      </c>
      <c r="B400" s="0" t="s">
        <v>30</v>
      </c>
      <c r="C400" s="0" t="s">
        <v>184</v>
      </c>
      <c r="D400" s="0" t="s">
        <v>293</v>
      </c>
      <c r="E400" s="0" t="s">
        <v>154</v>
      </c>
      <c r="F400" s="0" t="s">
        <v>649</v>
      </c>
      <c r="G400" s="0" t="s">
        <v>269</v>
      </c>
      <c r="H400" s="0">
        <v>12</v>
      </c>
      <c r="I400" s="0">
        <v>51</v>
      </c>
      <c r="J400" s="0">
        <v>2785</v>
      </c>
    </row>
    <row r="401">
      <c r="A401" s="0" t="s">
        <v>28</v>
      </c>
      <c r="B401" s="0" t="s">
        <v>30</v>
      </c>
      <c r="C401" s="0" t="s">
        <v>184</v>
      </c>
      <c r="D401" s="0" t="s">
        <v>293</v>
      </c>
      <c r="E401" s="0" t="s">
        <v>154</v>
      </c>
      <c r="F401" s="0" t="s">
        <v>650</v>
      </c>
      <c r="G401" s="0" t="s">
        <v>651</v>
      </c>
      <c r="H401" s="0">
        <v>12</v>
      </c>
      <c r="I401" s="0">
        <v>51</v>
      </c>
      <c r="J401" s="0">
        <v>2785</v>
      </c>
    </row>
    <row r="402">
      <c r="A402" s="0" t="s">
        <v>28</v>
      </c>
      <c r="B402" s="0" t="s">
        <v>30</v>
      </c>
      <c r="C402" s="0" t="s">
        <v>184</v>
      </c>
      <c r="D402" s="0" t="s">
        <v>293</v>
      </c>
      <c r="E402" s="0" t="s">
        <v>154</v>
      </c>
      <c r="F402" s="0" t="s">
        <v>652</v>
      </c>
      <c r="G402" s="0" t="s">
        <v>808</v>
      </c>
      <c r="H402" s="0">
        <v>12</v>
      </c>
      <c r="I402" s="0">
        <v>51</v>
      </c>
      <c r="J402" s="0">
        <v>2785</v>
      </c>
    </row>
    <row r="403">
      <c r="A403" s="0" t="s">
        <v>28</v>
      </c>
      <c r="B403" s="0" t="s">
        <v>30</v>
      </c>
      <c r="C403" s="0" t="s">
        <v>184</v>
      </c>
      <c r="D403" s="0" t="s">
        <v>293</v>
      </c>
      <c r="E403" s="0" t="s">
        <v>154</v>
      </c>
      <c r="F403" s="0" t="s">
        <v>654</v>
      </c>
      <c r="G403" s="0" t="s">
        <v>655</v>
      </c>
      <c r="H403" s="0">
        <v>12</v>
      </c>
      <c r="I403" s="0">
        <v>51</v>
      </c>
      <c r="J403" s="0">
        <v>2785</v>
      </c>
    </row>
    <row r="404">
      <c r="A404" s="0" t="s">
        <v>28</v>
      </c>
      <c r="B404" s="0" t="s">
        <v>30</v>
      </c>
      <c r="C404" s="0" t="s">
        <v>184</v>
      </c>
      <c r="D404" s="0" t="s">
        <v>293</v>
      </c>
      <c r="E404" s="0" t="s">
        <v>154</v>
      </c>
      <c r="F404" s="0" t="s">
        <v>656</v>
      </c>
      <c r="G404" s="0" t="s">
        <v>602</v>
      </c>
      <c r="H404" s="0">
        <v>12</v>
      </c>
      <c r="I404" s="0">
        <v>51</v>
      </c>
      <c r="J404" s="0">
        <v>2785</v>
      </c>
    </row>
    <row r="405">
      <c r="A405" s="0" t="s">
        <v>28</v>
      </c>
      <c r="B405" s="0" t="s">
        <v>30</v>
      </c>
      <c r="C405" s="0" t="s">
        <v>184</v>
      </c>
      <c r="D405" s="0" t="s">
        <v>293</v>
      </c>
      <c r="E405" s="0" t="s">
        <v>154</v>
      </c>
      <c r="F405" s="0" t="s">
        <v>657</v>
      </c>
      <c r="G405" s="0" t="s">
        <v>295</v>
      </c>
      <c r="H405" s="0">
        <v>12</v>
      </c>
      <c r="I405" s="0">
        <v>51</v>
      </c>
      <c r="J405" s="0">
        <v>2785</v>
      </c>
    </row>
    <row r="406">
      <c r="A406" s="0" t="s">
        <v>28</v>
      </c>
      <c r="B406" s="0" t="s">
        <v>30</v>
      </c>
      <c r="C406" s="0" t="s">
        <v>184</v>
      </c>
      <c r="D406" s="0" t="s">
        <v>293</v>
      </c>
      <c r="E406" s="0" t="s">
        <v>154</v>
      </c>
      <c r="F406" s="0" t="s">
        <v>658</v>
      </c>
      <c r="G406" s="0" t="s">
        <v>549</v>
      </c>
      <c r="H406" s="0">
        <v>12</v>
      </c>
      <c r="I406" s="0">
        <v>51</v>
      </c>
      <c r="J406" s="0">
        <v>2785</v>
      </c>
    </row>
    <row r="407">
      <c r="A407" s="0" t="s">
        <v>28</v>
      </c>
      <c r="B407" s="0" t="s">
        <v>30</v>
      </c>
      <c r="C407" s="0" t="s">
        <v>184</v>
      </c>
      <c r="D407" s="0" t="s">
        <v>293</v>
      </c>
      <c r="E407" s="0" t="s">
        <v>154</v>
      </c>
      <c r="F407" s="0" t="s">
        <v>659</v>
      </c>
      <c r="G407" s="0" t="s">
        <v>809</v>
      </c>
      <c r="H407" s="0">
        <v>12</v>
      </c>
      <c r="I407" s="0">
        <v>51</v>
      </c>
      <c r="J407" s="0">
        <v>2785</v>
      </c>
    </row>
    <row r="408">
      <c r="A408" s="0" t="s">
        <v>28</v>
      </c>
      <c r="B408" s="0" t="s">
        <v>30</v>
      </c>
      <c r="C408" s="0" t="s">
        <v>184</v>
      </c>
      <c r="D408" s="0" t="s">
        <v>293</v>
      </c>
      <c r="E408" s="0" t="s">
        <v>154</v>
      </c>
      <c r="F408" s="0" t="s">
        <v>661</v>
      </c>
      <c r="G408" s="0" t="s">
        <v>778</v>
      </c>
      <c r="H408" s="0">
        <v>12</v>
      </c>
      <c r="I408" s="0">
        <v>51</v>
      </c>
      <c r="J408" s="0">
        <v>2785</v>
      </c>
    </row>
    <row r="409">
      <c r="A409" s="0" t="s">
        <v>28</v>
      </c>
      <c r="B409" s="0" t="s">
        <v>30</v>
      </c>
      <c r="C409" s="0" t="s">
        <v>184</v>
      </c>
      <c r="D409" s="0" t="s">
        <v>293</v>
      </c>
      <c r="E409" s="0" t="s">
        <v>154</v>
      </c>
      <c r="F409" s="0" t="s">
        <v>663</v>
      </c>
      <c r="G409" s="0" t="s">
        <v>114</v>
      </c>
      <c r="H409" s="0">
        <v>12</v>
      </c>
      <c r="I409" s="0">
        <v>51</v>
      </c>
      <c r="J409" s="0">
        <v>2785</v>
      </c>
    </row>
    <row r="410">
      <c r="A410" s="0" t="s">
        <v>28</v>
      </c>
      <c r="B410" s="0" t="s">
        <v>30</v>
      </c>
      <c r="C410" s="0" t="s">
        <v>184</v>
      </c>
      <c r="D410" s="0" t="s">
        <v>293</v>
      </c>
      <c r="E410" s="0" t="s">
        <v>154</v>
      </c>
      <c r="F410" s="0" t="s">
        <v>664</v>
      </c>
      <c r="G410" s="0" t="s">
        <v>810</v>
      </c>
      <c r="H410" s="0">
        <v>12</v>
      </c>
      <c r="I410" s="0">
        <v>51</v>
      </c>
      <c r="J410" s="0">
        <v>2785</v>
      </c>
    </row>
    <row r="411">
      <c r="A411" s="0" t="s">
        <v>28</v>
      </c>
      <c r="B411" s="0" t="s">
        <v>30</v>
      </c>
      <c r="C411" s="0" t="s">
        <v>184</v>
      </c>
      <c r="D411" s="0" t="s">
        <v>293</v>
      </c>
      <c r="E411" s="0" t="s">
        <v>154</v>
      </c>
      <c r="F411" s="0" t="s">
        <v>666</v>
      </c>
      <c r="G411" s="0" t="s">
        <v>792</v>
      </c>
      <c r="H411" s="0">
        <v>12</v>
      </c>
      <c r="I411" s="0">
        <v>51</v>
      </c>
      <c r="J411" s="0">
        <v>2785</v>
      </c>
    </row>
    <row r="412">
      <c r="A412" s="0" t="s">
        <v>28</v>
      </c>
      <c r="B412" s="0" t="s">
        <v>30</v>
      </c>
      <c r="C412" s="0" t="s">
        <v>184</v>
      </c>
      <c r="D412" s="0" t="s">
        <v>293</v>
      </c>
      <c r="E412" s="0" t="s">
        <v>154</v>
      </c>
      <c r="F412" s="0" t="s">
        <v>667</v>
      </c>
      <c r="G412" s="0" t="s">
        <v>668</v>
      </c>
      <c r="H412" s="0">
        <v>12</v>
      </c>
      <c r="I412" s="0">
        <v>51</v>
      </c>
      <c r="J412" s="0">
        <v>2785</v>
      </c>
    </row>
    <row r="413">
      <c r="A413" s="0" t="s">
        <v>28</v>
      </c>
      <c r="B413" s="0" t="s">
        <v>30</v>
      </c>
      <c r="C413" s="0" t="s">
        <v>184</v>
      </c>
      <c r="D413" s="0" t="s">
        <v>293</v>
      </c>
      <c r="E413" s="0" t="s">
        <v>154</v>
      </c>
      <c r="F413" s="0" t="s">
        <v>669</v>
      </c>
      <c r="G413" s="0" t="s">
        <v>550</v>
      </c>
      <c r="H413" s="0">
        <v>12</v>
      </c>
      <c r="I413" s="0">
        <v>51</v>
      </c>
      <c r="J413" s="0">
        <v>2785</v>
      </c>
    </row>
    <row r="414">
      <c r="A414" s="0" t="s">
        <v>28</v>
      </c>
      <c r="B414" s="0" t="s">
        <v>30</v>
      </c>
      <c r="C414" s="0" t="s">
        <v>184</v>
      </c>
      <c r="D414" s="0" t="s">
        <v>293</v>
      </c>
      <c r="E414" s="0" t="s">
        <v>154</v>
      </c>
      <c r="F414" s="0" t="s">
        <v>670</v>
      </c>
      <c r="G414" s="0" t="s">
        <v>811</v>
      </c>
      <c r="H414" s="0">
        <v>12</v>
      </c>
      <c r="I414" s="0">
        <v>51</v>
      </c>
      <c r="J414" s="0">
        <v>2785</v>
      </c>
    </row>
    <row r="415">
      <c r="A415" s="0" t="s">
        <v>28</v>
      </c>
      <c r="B415" s="0" t="s">
        <v>30</v>
      </c>
      <c r="C415" s="0" t="s">
        <v>184</v>
      </c>
      <c r="D415" s="0" t="s">
        <v>293</v>
      </c>
      <c r="E415" s="0" t="s">
        <v>154</v>
      </c>
      <c r="F415" s="0" t="s">
        <v>672</v>
      </c>
      <c r="G415" s="0" t="s">
        <v>498</v>
      </c>
      <c r="H415" s="0">
        <v>12</v>
      </c>
      <c r="I415" s="0">
        <v>51</v>
      </c>
      <c r="J415" s="0">
        <v>2785</v>
      </c>
    </row>
    <row r="416">
      <c r="A416" s="0" t="s">
        <v>28</v>
      </c>
      <c r="B416" s="0" t="s">
        <v>30</v>
      </c>
      <c r="C416" s="0" t="s">
        <v>184</v>
      </c>
      <c r="D416" s="0" t="s">
        <v>293</v>
      </c>
      <c r="E416" s="0" t="s">
        <v>154</v>
      </c>
      <c r="F416" s="0" t="s">
        <v>673</v>
      </c>
      <c r="G416" s="0" t="s">
        <v>797</v>
      </c>
      <c r="H416" s="0">
        <v>12</v>
      </c>
      <c r="I416" s="0">
        <v>51</v>
      </c>
      <c r="J416" s="0">
        <v>2785</v>
      </c>
    </row>
    <row r="417">
      <c r="A417" s="0" t="s">
        <v>28</v>
      </c>
      <c r="B417" s="0" t="s">
        <v>30</v>
      </c>
      <c r="C417" s="0" t="s">
        <v>184</v>
      </c>
      <c r="D417" s="0" t="s">
        <v>293</v>
      </c>
      <c r="E417" s="0" t="s">
        <v>154</v>
      </c>
      <c r="F417" s="0" t="s">
        <v>674</v>
      </c>
      <c r="G417" s="0" t="s">
        <v>341</v>
      </c>
      <c r="H417" s="0">
        <v>12</v>
      </c>
      <c r="I417" s="0">
        <v>51</v>
      </c>
      <c r="J417" s="0">
        <v>2785</v>
      </c>
    </row>
    <row r="418">
      <c r="A418" s="0" t="s">
        <v>28</v>
      </c>
      <c r="B418" s="0" t="s">
        <v>30</v>
      </c>
      <c r="C418" s="0" t="s">
        <v>184</v>
      </c>
      <c r="D418" s="0" t="s">
        <v>293</v>
      </c>
      <c r="E418" s="0" t="s">
        <v>154</v>
      </c>
      <c r="F418" s="0" t="s">
        <v>675</v>
      </c>
      <c r="G418" s="0" t="s">
        <v>812</v>
      </c>
      <c r="H418" s="0">
        <v>12</v>
      </c>
      <c r="I418" s="0">
        <v>51</v>
      </c>
      <c r="J418" s="0">
        <v>2785</v>
      </c>
    </row>
    <row r="419">
      <c r="A419" s="0" t="s">
        <v>28</v>
      </c>
      <c r="B419" s="0" t="s">
        <v>30</v>
      </c>
      <c r="C419" s="0" t="s">
        <v>184</v>
      </c>
      <c r="D419" s="0" t="s">
        <v>293</v>
      </c>
      <c r="E419" s="0" t="s">
        <v>154</v>
      </c>
      <c r="F419" s="0" t="s">
        <v>677</v>
      </c>
      <c r="G419" s="0" t="s">
        <v>549</v>
      </c>
      <c r="H419" s="0">
        <v>12</v>
      </c>
      <c r="I419" s="0">
        <v>51</v>
      </c>
      <c r="J419" s="0">
        <v>2785</v>
      </c>
    </row>
    <row r="420">
      <c r="A420" s="0" t="s">
        <v>28</v>
      </c>
      <c r="B420" s="0" t="s">
        <v>30</v>
      </c>
      <c r="C420" s="0" t="s">
        <v>184</v>
      </c>
      <c r="D420" s="0" t="s">
        <v>293</v>
      </c>
      <c r="E420" s="0" t="s">
        <v>154</v>
      </c>
      <c r="F420" s="0" t="s">
        <v>678</v>
      </c>
      <c r="G420" s="0" t="s">
        <v>813</v>
      </c>
      <c r="H420" s="0">
        <v>12</v>
      </c>
      <c r="I420" s="0">
        <v>51</v>
      </c>
      <c r="J420" s="0">
        <v>2785</v>
      </c>
    </row>
    <row r="421">
      <c r="A421" s="0" t="s">
        <v>28</v>
      </c>
      <c r="B421" s="0" t="s">
        <v>30</v>
      </c>
      <c r="C421" s="0" t="s">
        <v>184</v>
      </c>
      <c r="D421" s="0" t="s">
        <v>293</v>
      </c>
      <c r="E421" s="0" t="s">
        <v>154</v>
      </c>
      <c r="F421" s="0" t="s">
        <v>680</v>
      </c>
      <c r="G421" s="0" t="s">
        <v>814</v>
      </c>
      <c r="H421" s="0">
        <v>12</v>
      </c>
      <c r="I421" s="0">
        <v>51</v>
      </c>
      <c r="J421" s="0">
        <v>2785</v>
      </c>
    </row>
    <row r="422">
      <c r="A422" s="0" t="s">
        <v>28</v>
      </c>
      <c r="B422" s="0" t="s">
        <v>30</v>
      </c>
      <c r="C422" s="0" t="s">
        <v>184</v>
      </c>
      <c r="D422" s="0" t="s">
        <v>293</v>
      </c>
      <c r="E422" s="0" t="s">
        <v>154</v>
      </c>
      <c r="F422" s="0" t="s">
        <v>682</v>
      </c>
      <c r="G422" s="0" t="s">
        <v>554</v>
      </c>
      <c r="H422" s="0">
        <v>12</v>
      </c>
      <c r="I422" s="0">
        <v>51</v>
      </c>
      <c r="J422" s="0">
        <v>2785</v>
      </c>
    </row>
    <row r="423">
      <c r="A423" s="0" t="s">
        <v>28</v>
      </c>
      <c r="B423" s="0" t="s">
        <v>30</v>
      </c>
      <c r="C423" s="0" t="s">
        <v>184</v>
      </c>
      <c r="D423" s="0" t="s">
        <v>293</v>
      </c>
      <c r="E423" s="0" t="s">
        <v>154</v>
      </c>
      <c r="F423" s="0" t="s">
        <v>683</v>
      </c>
      <c r="G423" s="0" t="s">
        <v>815</v>
      </c>
      <c r="H423" s="0">
        <v>12</v>
      </c>
      <c r="I423" s="0">
        <v>51</v>
      </c>
      <c r="J423" s="0">
        <v>2785</v>
      </c>
    </row>
    <row r="424">
      <c r="A424" s="0" t="s">
        <v>28</v>
      </c>
      <c r="B424" s="0" t="s">
        <v>30</v>
      </c>
      <c r="C424" s="0" t="s">
        <v>184</v>
      </c>
      <c r="D424" s="0" t="s">
        <v>293</v>
      </c>
      <c r="E424" s="0" t="s">
        <v>154</v>
      </c>
      <c r="F424" s="0" t="s">
        <v>685</v>
      </c>
      <c r="G424" s="0" t="s">
        <v>686</v>
      </c>
      <c r="H424" s="0">
        <v>12</v>
      </c>
      <c r="I424" s="0">
        <v>51</v>
      </c>
      <c r="J424" s="0">
        <v>2785</v>
      </c>
    </row>
    <row r="425">
      <c r="A425" s="0" t="s">
        <v>28</v>
      </c>
      <c r="B425" s="0" t="s">
        <v>30</v>
      </c>
      <c r="C425" s="0" t="s">
        <v>184</v>
      </c>
      <c r="D425" s="0" t="s">
        <v>293</v>
      </c>
      <c r="E425" s="0" t="s">
        <v>154</v>
      </c>
      <c r="F425" s="0" t="s">
        <v>687</v>
      </c>
      <c r="G425" s="0" t="s">
        <v>688</v>
      </c>
      <c r="H425" s="0">
        <v>12</v>
      </c>
      <c r="I425" s="0">
        <v>51</v>
      </c>
      <c r="J425" s="0">
        <v>2785</v>
      </c>
    </row>
    <row r="426">
      <c r="A426" s="0" t="s">
        <v>28</v>
      </c>
      <c r="B426" s="0" t="s">
        <v>30</v>
      </c>
      <c r="C426" s="0" t="s">
        <v>184</v>
      </c>
      <c r="D426" s="0" t="s">
        <v>293</v>
      </c>
      <c r="E426" s="0" t="s">
        <v>154</v>
      </c>
      <c r="F426" s="0" t="s">
        <v>689</v>
      </c>
      <c r="G426" s="0" t="s">
        <v>341</v>
      </c>
      <c r="H426" s="0">
        <v>12</v>
      </c>
      <c r="I426" s="0">
        <v>51</v>
      </c>
      <c r="J426" s="0">
        <v>2785</v>
      </c>
    </row>
    <row r="427">
      <c r="A427" s="0" t="s">
        <v>28</v>
      </c>
      <c r="B427" s="0" t="s">
        <v>30</v>
      </c>
      <c r="C427" s="0" t="s">
        <v>184</v>
      </c>
      <c r="D427" s="0" t="s">
        <v>293</v>
      </c>
      <c r="E427" s="0" t="s">
        <v>154</v>
      </c>
      <c r="F427" s="0" t="s">
        <v>690</v>
      </c>
      <c r="G427" s="0" t="s">
        <v>607</v>
      </c>
      <c r="H427" s="0">
        <v>12</v>
      </c>
      <c r="I427" s="0">
        <v>51</v>
      </c>
      <c r="J427" s="0">
        <v>2785</v>
      </c>
    </row>
    <row r="428">
      <c r="A428" s="0" t="s">
        <v>28</v>
      </c>
      <c r="B428" s="0" t="s">
        <v>30</v>
      </c>
      <c r="C428" s="0" t="s">
        <v>184</v>
      </c>
      <c r="D428" s="0" t="s">
        <v>293</v>
      </c>
      <c r="E428" s="0" t="s">
        <v>154</v>
      </c>
      <c r="F428" s="0" t="s">
        <v>691</v>
      </c>
      <c r="G428" s="0" t="s">
        <v>692</v>
      </c>
      <c r="H428" s="0">
        <v>12</v>
      </c>
      <c r="I428" s="0">
        <v>51</v>
      </c>
      <c r="J428" s="0">
        <v>2785</v>
      </c>
    </row>
    <row r="429">
      <c r="A429" s="0" t="s">
        <v>28</v>
      </c>
      <c r="B429" s="0" t="s">
        <v>30</v>
      </c>
      <c r="C429" s="0" t="s">
        <v>184</v>
      </c>
      <c r="D429" s="0" t="s">
        <v>293</v>
      </c>
      <c r="E429" s="0" t="s">
        <v>154</v>
      </c>
      <c r="F429" s="0" t="s">
        <v>693</v>
      </c>
      <c r="G429" s="0" t="s">
        <v>694</v>
      </c>
      <c r="H429" s="0">
        <v>12</v>
      </c>
      <c r="I429" s="0">
        <v>51</v>
      </c>
      <c r="J429" s="0">
        <v>2785</v>
      </c>
    </row>
    <row r="430">
      <c r="A430" s="0" t="s">
        <v>28</v>
      </c>
      <c r="B430" s="0" t="s">
        <v>30</v>
      </c>
      <c r="C430" s="0" t="s">
        <v>184</v>
      </c>
      <c r="D430" s="0" t="s">
        <v>293</v>
      </c>
      <c r="E430" s="0" t="s">
        <v>154</v>
      </c>
      <c r="F430" s="0" t="s">
        <v>695</v>
      </c>
      <c r="G430" s="0" t="s">
        <v>295</v>
      </c>
      <c r="H430" s="0">
        <v>12</v>
      </c>
      <c r="I430" s="0">
        <v>51</v>
      </c>
      <c r="J430" s="0">
        <v>2785</v>
      </c>
    </row>
    <row r="431">
      <c r="A431" s="0" t="s">
        <v>28</v>
      </c>
      <c r="B431" s="0" t="s">
        <v>30</v>
      </c>
      <c r="C431" s="0" t="s">
        <v>184</v>
      </c>
      <c r="D431" s="0" t="s">
        <v>293</v>
      </c>
      <c r="E431" s="0" t="s">
        <v>154</v>
      </c>
      <c r="F431" s="0" t="s">
        <v>696</v>
      </c>
      <c r="G431" s="0" t="s">
        <v>697</v>
      </c>
      <c r="H431" s="0">
        <v>12</v>
      </c>
      <c r="I431" s="0">
        <v>51</v>
      </c>
      <c r="J431" s="0">
        <v>2785</v>
      </c>
    </row>
    <row r="432">
      <c r="A432" s="0" t="s">
        <v>28</v>
      </c>
      <c r="B432" s="0" t="s">
        <v>30</v>
      </c>
      <c r="C432" s="0" t="s">
        <v>184</v>
      </c>
      <c r="D432" s="0" t="s">
        <v>293</v>
      </c>
      <c r="E432" s="0" t="s">
        <v>154</v>
      </c>
      <c r="F432" s="0" t="s">
        <v>698</v>
      </c>
      <c r="G432" s="0" t="s">
        <v>602</v>
      </c>
      <c r="H432" s="0">
        <v>12</v>
      </c>
      <c r="I432" s="0">
        <v>51</v>
      </c>
      <c r="J432" s="0">
        <v>2785</v>
      </c>
    </row>
    <row r="433">
      <c r="A433" s="0" t="s">
        <v>28</v>
      </c>
      <c r="B433" s="0" t="s">
        <v>30</v>
      </c>
      <c r="C433" s="0" t="s">
        <v>184</v>
      </c>
      <c r="D433" s="0" t="s">
        <v>293</v>
      </c>
      <c r="E433" s="0" t="s">
        <v>154</v>
      </c>
      <c r="F433" s="0" t="s">
        <v>699</v>
      </c>
      <c r="G433" s="0" t="s">
        <v>700</v>
      </c>
      <c r="H433" s="0">
        <v>12</v>
      </c>
      <c r="I433" s="0">
        <v>51</v>
      </c>
      <c r="J433" s="0">
        <v>2785</v>
      </c>
    </row>
    <row r="434">
      <c r="A434" s="0" t="s">
        <v>28</v>
      </c>
      <c r="B434" s="0" t="s">
        <v>30</v>
      </c>
      <c r="C434" s="0" t="s">
        <v>184</v>
      </c>
      <c r="D434" s="0" t="s">
        <v>293</v>
      </c>
      <c r="E434" s="0" t="s">
        <v>154</v>
      </c>
      <c r="F434" s="0" t="s">
        <v>701</v>
      </c>
      <c r="G434" s="0" t="s">
        <v>816</v>
      </c>
      <c r="H434" s="0">
        <v>12</v>
      </c>
      <c r="I434" s="0">
        <v>51</v>
      </c>
      <c r="J434" s="0">
        <v>2785</v>
      </c>
    </row>
    <row r="435">
      <c r="A435" s="0" t="s">
        <v>28</v>
      </c>
      <c r="B435" s="0" t="s">
        <v>30</v>
      </c>
      <c r="C435" s="0" t="s">
        <v>184</v>
      </c>
      <c r="D435" s="0" t="s">
        <v>293</v>
      </c>
      <c r="E435" s="0" t="s">
        <v>154</v>
      </c>
      <c r="F435" s="0" t="s">
        <v>703</v>
      </c>
      <c r="G435" s="0" t="s">
        <v>817</v>
      </c>
      <c r="H435" s="0">
        <v>12</v>
      </c>
      <c r="I435" s="0">
        <v>51</v>
      </c>
      <c r="J435" s="0">
        <v>2785</v>
      </c>
    </row>
    <row r="436">
      <c r="A436" s="0" t="s">
        <v>28</v>
      </c>
      <c r="B436" s="0" t="s">
        <v>30</v>
      </c>
      <c r="C436" s="0" t="s">
        <v>184</v>
      </c>
      <c r="D436" s="0" t="s">
        <v>293</v>
      </c>
      <c r="E436" s="0" t="s">
        <v>154</v>
      </c>
      <c r="F436" s="0" t="s">
        <v>705</v>
      </c>
      <c r="G436" s="0" t="s">
        <v>364</v>
      </c>
      <c r="H436" s="0">
        <v>12</v>
      </c>
      <c r="I436" s="0">
        <v>51</v>
      </c>
      <c r="J436" s="0">
        <v>2785</v>
      </c>
    </row>
    <row r="437">
      <c r="A437" s="0" t="s">
        <v>28</v>
      </c>
      <c r="B437" s="0" t="s">
        <v>30</v>
      </c>
      <c r="C437" s="0" t="s">
        <v>184</v>
      </c>
      <c r="D437" s="0" t="s">
        <v>293</v>
      </c>
      <c r="E437" s="0" t="s">
        <v>154</v>
      </c>
      <c r="F437" s="0" t="s">
        <v>706</v>
      </c>
      <c r="G437" s="0" t="s">
        <v>818</v>
      </c>
      <c r="H437" s="0">
        <v>12</v>
      </c>
      <c r="I437" s="0">
        <v>51</v>
      </c>
      <c r="J437" s="0">
        <v>2785</v>
      </c>
    </row>
    <row r="438">
      <c r="A438" s="0" t="s">
        <v>28</v>
      </c>
      <c r="B438" s="0" t="s">
        <v>30</v>
      </c>
      <c r="C438" s="0" t="s">
        <v>184</v>
      </c>
      <c r="D438" s="0" t="s">
        <v>293</v>
      </c>
      <c r="E438" s="0" t="s">
        <v>154</v>
      </c>
      <c r="F438" s="0" t="s">
        <v>708</v>
      </c>
      <c r="G438" s="0" t="s">
        <v>755</v>
      </c>
      <c r="H438" s="0">
        <v>12</v>
      </c>
      <c r="I438" s="0">
        <v>51</v>
      </c>
      <c r="J438" s="0">
        <v>2785</v>
      </c>
    </row>
    <row r="439">
      <c r="A439" s="0" t="s">
        <v>28</v>
      </c>
      <c r="B439" s="0" t="s">
        <v>30</v>
      </c>
      <c r="C439" s="0" t="s">
        <v>186</v>
      </c>
      <c r="D439" s="0" t="s">
        <v>297</v>
      </c>
      <c r="E439" s="0" t="s">
        <v>154</v>
      </c>
      <c r="F439" s="0" t="s">
        <v>572</v>
      </c>
      <c r="G439" s="0" t="s">
        <v>573</v>
      </c>
      <c r="H439" s="0">
        <v>12</v>
      </c>
      <c r="I439" s="0">
        <v>54</v>
      </c>
      <c r="J439" s="0">
        <v>2781</v>
      </c>
    </row>
    <row r="440">
      <c r="A440" s="0" t="s">
        <v>28</v>
      </c>
      <c r="B440" s="0" t="s">
        <v>30</v>
      </c>
      <c r="C440" s="0" t="s">
        <v>186</v>
      </c>
      <c r="D440" s="0" t="s">
        <v>297</v>
      </c>
      <c r="E440" s="0" t="s">
        <v>154</v>
      </c>
      <c r="F440" s="0" t="s">
        <v>574</v>
      </c>
      <c r="G440" s="0" t="s">
        <v>341</v>
      </c>
      <c r="H440" s="0">
        <v>12</v>
      </c>
      <c r="I440" s="0">
        <v>54</v>
      </c>
      <c r="J440" s="0">
        <v>2781</v>
      </c>
    </row>
    <row r="441">
      <c r="A441" s="0" t="s">
        <v>28</v>
      </c>
      <c r="B441" s="0" t="s">
        <v>30</v>
      </c>
      <c r="C441" s="0" t="s">
        <v>186</v>
      </c>
      <c r="D441" s="0" t="s">
        <v>297</v>
      </c>
      <c r="E441" s="0" t="s">
        <v>154</v>
      </c>
      <c r="F441" s="0" t="s">
        <v>575</v>
      </c>
      <c r="G441" s="0" t="s">
        <v>380</v>
      </c>
      <c r="H441" s="0">
        <v>12</v>
      </c>
      <c r="I441" s="0">
        <v>54</v>
      </c>
      <c r="J441" s="0">
        <v>2781</v>
      </c>
    </row>
    <row r="442">
      <c r="A442" s="0" t="s">
        <v>28</v>
      </c>
      <c r="B442" s="0" t="s">
        <v>30</v>
      </c>
      <c r="C442" s="0" t="s">
        <v>186</v>
      </c>
      <c r="D442" s="0" t="s">
        <v>297</v>
      </c>
      <c r="E442" s="0" t="s">
        <v>154</v>
      </c>
      <c r="F442" s="0" t="s">
        <v>576</v>
      </c>
      <c r="G442" s="0" t="s">
        <v>819</v>
      </c>
      <c r="H442" s="0">
        <v>12</v>
      </c>
      <c r="I442" s="0">
        <v>54</v>
      </c>
      <c r="J442" s="0">
        <v>2781</v>
      </c>
    </row>
    <row r="443">
      <c r="A443" s="0" t="s">
        <v>28</v>
      </c>
      <c r="B443" s="0" t="s">
        <v>30</v>
      </c>
      <c r="C443" s="0" t="s">
        <v>186</v>
      </c>
      <c r="D443" s="0" t="s">
        <v>297</v>
      </c>
      <c r="E443" s="0" t="s">
        <v>154</v>
      </c>
      <c r="F443" s="0" t="s">
        <v>578</v>
      </c>
      <c r="G443" s="0" t="s">
        <v>820</v>
      </c>
      <c r="H443" s="0">
        <v>12</v>
      </c>
      <c r="I443" s="0">
        <v>54</v>
      </c>
      <c r="J443" s="0">
        <v>2781</v>
      </c>
    </row>
    <row r="444">
      <c r="A444" s="0" t="s">
        <v>28</v>
      </c>
      <c r="B444" s="0" t="s">
        <v>30</v>
      </c>
      <c r="C444" s="0" t="s">
        <v>186</v>
      </c>
      <c r="D444" s="0" t="s">
        <v>297</v>
      </c>
      <c r="E444" s="0" t="s">
        <v>154</v>
      </c>
      <c r="F444" s="0" t="s">
        <v>580</v>
      </c>
      <c r="G444" s="0" t="s">
        <v>821</v>
      </c>
      <c r="H444" s="0">
        <v>12</v>
      </c>
      <c r="I444" s="0">
        <v>54</v>
      </c>
      <c r="J444" s="0">
        <v>2781</v>
      </c>
    </row>
    <row r="445">
      <c r="A445" s="0" t="s">
        <v>28</v>
      </c>
      <c r="B445" s="0" t="s">
        <v>30</v>
      </c>
      <c r="C445" s="0" t="s">
        <v>186</v>
      </c>
      <c r="D445" s="0" t="s">
        <v>297</v>
      </c>
      <c r="E445" s="0" t="s">
        <v>154</v>
      </c>
      <c r="F445" s="0" t="s">
        <v>582</v>
      </c>
      <c r="G445" s="0" t="s">
        <v>822</v>
      </c>
      <c r="H445" s="0">
        <v>12</v>
      </c>
      <c r="I445" s="0">
        <v>54</v>
      </c>
      <c r="J445" s="0">
        <v>2781</v>
      </c>
    </row>
    <row r="446">
      <c r="A446" s="0" t="s">
        <v>28</v>
      </c>
      <c r="B446" s="0" t="s">
        <v>30</v>
      </c>
      <c r="C446" s="0" t="s">
        <v>186</v>
      </c>
      <c r="D446" s="0" t="s">
        <v>297</v>
      </c>
      <c r="E446" s="0" t="s">
        <v>154</v>
      </c>
      <c r="F446" s="0" t="s">
        <v>584</v>
      </c>
      <c r="G446" s="0" t="s">
        <v>823</v>
      </c>
      <c r="H446" s="0">
        <v>12</v>
      </c>
      <c r="I446" s="0">
        <v>54</v>
      </c>
      <c r="J446" s="0">
        <v>2781</v>
      </c>
    </row>
    <row r="447">
      <c r="A447" s="0" t="s">
        <v>28</v>
      </c>
      <c r="B447" s="0" t="s">
        <v>30</v>
      </c>
      <c r="C447" s="0" t="s">
        <v>186</v>
      </c>
      <c r="D447" s="0" t="s">
        <v>297</v>
      </c>
      <c r="E447" s="0" t="s">
        <v>154</v>
      </c>
      <c r="F447" s="0" t="s">
        <v>586</v>
      </c>
      <c r="G447" s="0" t="s">
        <v>587</v>
      </c>
      <c r="H447" s="0">
        <v>12</v>
      </c>
      <c r="I447" s="0">
        <v>54</v>
      </c>
      <c r="J447" s="0">
        <v>2781</v>
      </c>
    </row>
    <row r="448">
      <c r="A448" s="0" t="s">
        <v>28</v>
      </c>
      <c r="B448" s="0" t="s">
        <v>30</v>
      </c>
      <c r="C448" s="0" t="s">
        <v>186</v>
      </c>
      <c r="D448" s="0" t="s">
        <v>297</v>
      </c>
      <c r="E448" s="0" t="s">
        <v>154</v>
      </c>
      <c r="F448" s="0" t="s">
        <v>588</v>
      </c>
      <c r="G448" s="0" t="s">
        <v>824</v>
      </c>
      <c r="H448" s="0">
        <v>12</v>
      </c>
      <c r="I448" s="0">
        <v>54</v>
      </c>
      <c r="J448" s="0">
        <v>2781</v>
      </c>
    </row>
    <row r="449">
      <c r="A449" s="0" t="s">
        <v>28</v>
      </c>
      <c r="B449" s="0" t="s">
        <v>30</v>
      </c>
      <c r="C449" s="0" t="s">
        <v>186</v>
      </c>
      <c r="D449" s="0" t="s">
        <v>297</v>
      </c>
      <c r="E449" s="0" t="s">
        <v>154</v>
      </c>
      <c r="F449" s="0" t="s">
        <v>590</v>
      </c>
      <c r="G449" s="0" t="s">
        <v>299</v>
      </c>
      <c r="H449" s="0">
        <v>12</v>
      </c>
      <c r="I449" s="0">
        <v>54</v>
      </c>
      <c r="J449" s="0">
        <v>2781</v>
      </c>
    </row>
    <row r="450">
      <c r="A450" s="0" t="s">
        <v>28</v>
      </c>
      <c r="B450" s="0" t="s">
        <v>30</v>
      </c>
      <c r="C450" s="0" t="s">
        <v>186</v>
      </c>
      <c r="D450" s="0" t="s">
        <v>297</v>
      </c>
      <c r="E450" s="0" t="s">
        <v>154</v>
      </c>
      <c r="F450" s="0" t="s">
        <v>592</v>
      </c>
      <c r="G450" s="0" t="s">
        <v>498</v>
      </c>
      <c r="H450" s="0">
        <v>12</v>
      </c>
      <c r="I450" s="0">
        <v>54</v>
      </c>
      <c r="J450" s="0">
        <v>2781</v>
      </c>
    </row>
    <row r="451">
      <c r="A451" s="0" t="s">
        <v>28</v>
      </c>
      <c r="B451" s="0" t="s">
        <v>30</v>
      </c>
      <c r="C451" s="0" t="s">
        <v>186</v>
      </c>
      <c r="D451" s="0" t="s">
        <v>297</v>
      </c>
      <c r="E451" s="0" t="s">
        <v>154</v>
      </c>
      <c r="F451" s="0" t="s">
        <v>593</v>
      </c>
      <c r="G451" s="0" t="s">
        <v>825</v>
      </c>
      <c r="H451" s="0">
        <v>12</v>
      </c>
      <c r="I451" s="0">
        <v>54</v>
      </c>
      <c r="J451" s="0">
        <v>2781</v>
      </c>
    </row>
    <row r="452">
      <c r="A452" s="0" t="s">
        <v>28</v>
      </c>
      <c r="B452" s="0" t="s">
        <v>30</v>
      </c>
      <c r="C452" s="0" t="s">
        <v>186</v>
      </c>
      <c r="D452" s="0" t="s">
        <v>297</v>
      </c>
      <c r="E452" s="0" t="s">
        <v>154</v>
      </c>
      <c r="F452" s="0" t="s">
        <v>595</v>
      </c>
      <c r="G452" s="0" t="s">
        <v>826</v>
      </c>
      <c r="H452" s="0">
        <v>12</v>
      </c>
      <c r="I452" s="0">
        <v>54</v>
      </c>
      <c r="J452" s="0">
        <v>2781</v>
      </c>
    </row>
    <row r="453">
      <c r="A453" s="0" t="s">
        <v>28</v>
      </c>
      <c r="B453" s="0" t="s">
        <v>30</v>
      </c>
      <c r="C453" s="0" t="s">
        <v>186</v>
      </c>
      <c r="D453" s="0" t="s">
        <v>297</v>
      </c>
      <c r="E453" s="0" t="s">
        <v>154</v>
      </c>
      <c r="F453" s="0" t="s">
        <v>597</v>
      </c>
      <c r="G453" s="0" t="s">
        <v>827</v>
      </c>
      <c r="H453" s="0">
        <v>12</v>
      </c>
      <c r="I453" s="0">
        <v>54</v>
      </c>
      <c r="J453" s="0">
        <v>2781</v>
      </c>
    </row>
    <row r="454">
      <c r="A454" s="0" t="s">
        <v>28</v>
      </c>
      <c r="B454" s="0" t="s">
        <v>30</v>
      </c>
      <c r="C454" s="0" t="s">
        <v>186</v>
      </c>
      <c r="D454" s="0" t="s">
        <v>297</v>
      </c>
      <c r="E454" s="0" t="s">
        <v>154</v>
      </c>
      <c r="F454" s="0" t="s">
        <v>599</v>
      </c>
      <c r="G454" s="0" t="s">
        <v>600</v>
      </c>
      <c r="H454" s="0">
        <v>12</v>
      </c>
      <c r="I454" s="0">
        <v>54</v>
      </c>
      <c r="J454" s="0">
        <v>2781</v>
      </c>
    </row>
    <row r="455">
      <c r="A455" s="0" t="s">
        <v>28</v>
      </c>
      <c r="B455" s="0" t="s">
        <v>30</v>
      </c>
      <c r="C455" s="0" t="s">
        <v>186</v>
      </c>
      <c r="D455" s="0" t="s">
        <v>297</v>
      </c>
      <c r="E455" s="0" t="s">
        <v>154</v>
      </c>
      <c r="F455" s="0" t="s">
        <v>601</v>
      </c>
      <c r="G455" s="0" t="s">
        <v>602</v>
      </c>
      <c r="H455" s="0">
        <v>12</v>
      </c>
      <c r="I455" s="0">
        <v>54</v>
      </c>
      <c r="J455" s="0">
        <v>2781</v>
      </c>
    </row>
    <row r="456">
      <c r="A456" s="0" t="s">
        <v>28</v>
      </c>
      <c r="B456" s="0" t="s">
        <v>30</v>
      </c>
      <c r="C456" s="0" t="s">
        <v>186</v>
      </c>
      <c r="D456" s="0" t="s">
        <v>297</v>
      </c>
      <c r="E456" s="0" t="s">
        <v>154</v>
      </c>
      <c r="F456" s="0" t="s">
        <v>603</v>
      </c>
      <c r="G456" s="0" t="s">
        <v>828</v>
      </c>
      <c r="H456" s="0">
        <v>12</v>
      </c>
      <c r="I456" s="0">
        <v>54</v>
      </c>
      <c r="J456" s="0">
        <v>2781</v>
      </c>
    </row>
    <row r="457">
      <c r="A457" s="0" t="s">
        <v>28</v>
      </c>
      <c r="B457" s="0" t="s">
        <v>30</v>
      </c>
      <c r="C457" s="0" t="s">
        <v>186</v>
      </c>
      <c r="D457" s="0" t="s">
        <v>297</v>
      </c>
      <c r="E457" s="0" t="s">
        <v>154</v>
      </c>
      <c r="F457" s="0" t="s">
        <v>605</v>
      </c>
      <c r="G457" s="0" t="s">
        <v>114</v>
      </c>
      <c r="H457" s="0">
        <v>12</v>
      </c>
      <c r="I457" s="0">
        <v>54</v>
      </c>
      <c r="J457" s="0">
        <v>2781</v>
      </c>
    </row>
    <row r="458">
      <c r="A458" s="0" t="s">
        <v>28</v>
      </c>
      <c r="B458" s="0" t="s">
        <v>30</v>
      </c>
      <c r="C458" s="0" t="s">
        <v>186</v>
      </c>
      <c r="D458" s="0" t="s">
        <v>297</v>
      </c>
      <c r="E458" s="0" t="s">
        <v>154</v>
      </c>
      <c r="F458" s="0" t="s">
        <v>606</v>
      </c>
      <c r="G458" s="0" t="s">
        <v>607</v>
      </c>
      <c r="H458" s="0">
        <v>12</v>
      </c>
      <c r="I458" s="0">
        <v>54</v>
      </c>
      <c r="J458" s="0">
        <v>2781</v>
      </c>
    </row>
    <row r="459">
      <c r="A459" s="0" t="s">
        <v>28</v>
      </c>
      <c r="B459" s="0" t="s">
        <v>30</v>
      </c>
      <c r="C459" s="0" t="s">
        <v>186</v>
      </c>
      <c r="D459" s="0" t="s">
        <v>297</v>
      </c>
      <c r="E459" s="0" t="s">
        <v>154</v>
      </c>
      <c r="F459" s="0" t="s">
        <v>608</v>
      </c>
      <c r="G459" s="0" t="s">
        <v>829</v>
      </c>
      <c r="H459" s="0">
        <v>12</v>
      </c>
      <c r="I459" s="0">
        <v>54</v>
      </c>
      <c r="J459" s="0">
        <v>2781</v>
      </c>
    </row>
    <row r="460">
      <c r="A460" s="0" t="s">
        <v>28</v>
      </c>
      <c r="B460" s="0" t="s">
        <v>30</v>
      </c>
      <c r="C460" s="0" t="s">
        <v>186</v>
      </c>
      <c r="D460" s="0" t="s">
        <v>297</v>
      </c>
      <c r="E460" s="0" t="s">
        <v>154</v>
      </c>
      <c r="F460" s="0" t="s">
        <v>609</v>
      </c>
      <c r="G460" s="0" t="s">
        <v>602</v>
      </c>
      <c r="H460" s="0">
        <v>12</v>
      </c>
      <c r="I460" s="0">
        <v>54</v>
      </c>
      <c r="J460" s="0">
        <v>2781</v>
      </c>
    </row>
    <row r="461">
      <c r="A461" s="0" t="s">
        <v>28</v>
      </c>
      <c r="B461" s="0" t="s">
        <v>30</v>
      </c>
      <c r="C461" s="0" t="s">
        <v>186</v>
      </c>
      <c r="D461" s="0" t="s">
        <v>297</v>
      </c>
      <c r="E461" s="0" t="s">
        <v>154</v>
      </c>
      <c r="F461" s="0" t="s">
        <v>610</v>
      </c>
      <c r="G461" s="0" t="s">
        <v>830</v>
      </c>
      <c r="H461" s="0">
        <v>12</v>
      </c>
      <c r="I461" s="0">
        <v>54</v>
      </c>
      <c r="J461" s="0">
        <v>2781</v>
      </c>
    </row>
    <row r="462">
      <c r="A462" s="0" t="s">
        <v>28</v>
      </c>
      <c r="B462" s="0" t="s">
        <v>30</v>
      </c>
      <c r="C462" s="0" t="s">
        <v>186</v>
      </c>
      <c r="D462" s="0" t="s">
        <v>297</v>
      </c>
      <c r="E462" s="0" t="s">
        <v>154</v>
      </c>
      <c r="F462" s="0" t="s">
        <v>612</v>
      </c>
      <c r="G462" s="0" t="s">
        <v>831</v>
      </c>
      <c r="H462" s="0">
        <v>12</v>
      </c>
      <c r="I462" s="0">
        <v>54</v>
      </c>
      <c r="J462" s="0">
        <v>2781</v>
      </c>
    </row>
    <row r="463">
      <c r="A463" s="0" t="s">
        <v>28</v>
      </c>
      <c r="B463" s="0" t="s">
        <v>30</v>
      </c>
      <c r="C463" s="0" t="s">
        <v>186</v>
      </c>
      <c r="D463" s="0" t="s">
        <v>297</v>
      </c>
      <c r="E463" s="0" t="s">
        <v>154</v>
      </c>
      <c r="F463" s="0" t="s">
        <v>614</v>
      </c>
      <c r="G463" s="0" t="s">
        <v>832</v>
      </c>
      <c r="H463" s="0">
        <v>12</v>
      </c>
      <c r="I463" s="0">
        <v>54</v>
      </c>
      <c r="J463" s="0">
        <v>2781</v>
      </c>
    </row>
    <row r="464">
      <c r="A464" s="0" t="s">
        <v>28</v>
      </c>
      <c r="B464" s="0" t="s">
        <v>30</v>
      </c>
      <c r="C464" s="0" t="s">
        <v>186</v>
      </c>
      <c r="D464" s="0" t="s">
        <v>297</v>
      </c>
      <c r="E464" s="0" t="s">
        <v>154</v>
      </c>
      <c r="F464" s="0" t="s">
        <v>616</v>
      </c>
      <c r="G464" s="0" t="s">
        <v>833</v>
      </c>
      <c r="H464" s="0">
        <v>12</v>
      </c>
      <c r="I464" s="0">
        <v>54</v>
      </c>
      <c r="J464" s="0">
        <v>2781</v>
      </c>
    </row>
    <row r="465">
      <c r="A465" s="0" t="s">
        <v>28</v>
      </c>
      <c r="B465" s="0" t="s">
        <v>30</v>
      </c>
      <c r="C465" s="0" t="s">
        <v>186</v>
      </c>
      <c r="D465" s="0" t="s">
        <v>297</v>
      </c>
      <c r="E465" s="0" t="s">
        <v>154</v>
      </c>
      <c r="F465" s="0" t="s">
        <v>618</v>
      </c>
      <c r="G465" s="0" t="s">
        <v>602</v>
      </c>
      <c r="H465" s="0">
        <v>12</v>
      </c>
      <c r="I465" s="0">
        <v>54</v>
      </c>
      <c r="J465" s="0">
        <v>2781</v>
      </c>
    </row>
    <row r="466">
      <c r="A466" s="0" t="s">
        <v>28</v>
      </c>
      <c r="B466" s="0" t="s">
        <v>30</v>
      </c>
      <c r="C466" s="0" t="s">
        <v>186</v>
      </c>
      <c r="D466" s="0" t="s">
        <v>297</v>
      </c>
      <c r="E466" s="0" t="s">
        <v>154</v>
      </c>
      <c r="F466" s="0" t="s">
        <v>619</v>
      </c>
      <c r="G466" s="0" t="s">
        <v>555</v>
      </c>
      <c r="H466" s="0">
        <v>12</v>
      </c>
      <c r="I466" s="0">
        <v>54</v>
      </c>
      <c r="J466" s="0">
        <v>2781</v>
      </c>
    </row>
    <row r="467">
      <c r="A467" s="0" t="s">
        <v>28</v>
      </c>
      <c r="B467" s="0" t="s">
        <v>30</v>
      </c>
      <c r="C467" s="0" t="s">
        <v>186</v>
      </c>
      <c r="D467" s="0" t="s">
        <v>297</v>
      </c>
      <c r="E467" s="0" t="s">
        <v>154</v>
      </c>
      <c r="F467" s="0" t="s">
        <v>620</v>
      </c>
      <c r="G467" s="0" t="s">
        <v>114</v>
      </c>
      <c r="H467" s="0">
        <v>12</v>
      </c>
      <c r="I467" s="0">
        <v>54</v>
      </c>
      <c r="J467" s="0">
        <v>2781</v>
      </c>
    </row>
    <row r="468">
      <c r="A468" s="0" t="s">
        <v>28</v>
      </c>
      <c r="B468" s="0" t="s">
        <v>30</v>
      </c>
      <c r="C468" s="0" t="s">
        <v>186</v>
      </c>
      <c r="D468" s="0" t="s">
        <v>297</v>
      </c>
      <c r="E468" s="0" t="s">
        <v>154</v>
      </c>
      <c r="F468" s="0" t="s">
        <v>621</v>
      </c>
      <c r="G468" s="0" t="s">
        <v>834</v>
      </c>
      <c r="H468" s="0">
        <v>12</v>
      </c>
      <c r="I468" s="0">
        <v>54</v>
      </c>
      <c r="J468" s="0">
        <v>2781</v>
      </c>
    </row>
    <row r="469">
      <c r="A469" s="0" t="s">
        <v>28</v>
      </c>
      <c r="B469" s="0" t="s">
        <v>30</v>
      </c>
      <c r="C469" s="0" t="s">
        <v>186</v>
      </c>
      <c r="D469" s="0" t="s">
        <v>297</v>
      </c>
      <c r="E469" s="0" t="s">
        <v>154</v>
      </c>
      <c r="F469" s="0" t="s">
        <v>623</v>
      </c>
      <c r="G469" s="0" t="s">
        <v>835</v>
      </c>
      <c r="H469" s="0">
        <v>12</v>
      </c>
      <c r="I469" s="0">
        <v>54</v>
      </c>
      <c r="J469" s="0">
        <v>2781</v>
      </c>
    </row>
    <row r="470">
      <c r="A470" s="0" t="s">
        <v>28</v>
      </c>
      <c r="B470" s="0" t="s">
        <v>30</v>
      </c>
      <c r="C470" s="0" t="s">
        <v>186</v>
      </c>
      <c r="D470" s="0" t="s">
        <v>297</v>
      </c>
      <c r="E470" s="0" t="s">
        <v>154</v>
      </c>
      <c r="F470" s="0" t="s">
        <v>625</v>
      </c>
      <c r="G470" s="0" t="s">
        <v>836</v>
      </c>
      <c r="H470" s="0">
        <v>12</v>
      </c>
      <c r="I470" s="0">
        <v>54</v>
      </c>
      <c r="J470" s="0">
        <v>2781</v>
      </c>
    </row>
    <row r="471">
      <c r="A471" s="0" t="s">
        <v>28</v>
      </c>
      <c r="B471" s="0" t="s">
        <v>30</v>
      </c>
      <c r="C471" s="0" t="s">
        <v>186</v>
      </c>
      <c r="D471" s="0" t="s">
        <v>297</v>
      </c>
      <c r="E471" s="0" t="s">
        <v>154</v>
      </c>
      <c r="F471" s="0" t="s">
        <v>627</v>
      </c>
      <c r="G471" s="0" t="s">
        <v>628</v>
      </c>
      <c r="H471" s="0">
        <v>12</v>
      </c>
      <c r="I471" s="0">
        <v>54</v>
      </c>
      <c r="J471" s="0">
        <v>2781</v>
      </c>
    </row>
    <row r="472">
      <c r="A472" s="0" t="s">
        <v>28</v>
      </c>
      <c r="B472" s="0" t="s">
        <v>30</v>
      </c>
      <c r="C472" s="0" t="s">
        <v>186</v>
      </c>
      <c r="D472" s="0" t="s">
        <v>297</v>
      </c>
      <c r="E472" s="0" t="s">
        <v>154</v>
      </c>
      <c r="F472" s="0" t="s">
        <v>629</v>
      </c>
      <c r="G472" s="0" t="s">
        <v>630</v>
      </c>
      <c r="H472" s="0">
        <v>12</v>
      </c>
      <c r="I472" s="0">
        <v>54</v>
      </c>
      <c r="J472" s="0">
        <v>2781</v>
      </c>
    </row>
    <row r="473">
      <c r="A473" s="0" t="s">
        <v>28</v>
      </c>
      <c r="B473" s="0" t="s">
        <v>30</v>
      </c>
      <c r="C473" s="0" t="s">
        <v>186</v>
      </c>
      <c r="D473" s="0" t="s">
        <v>297</v>
      </c>
      <c r="E473" s="0" t="s">
        <v>154</v>
      </c>
      <c r="F473" s="0" t="s">
        <v>631</v>
      </c>
      <c r="G473" s="0" t="s">
        <v>556</v>
      </c>
      <c r="H473" s="0">
        <v>12</v>
      </c>
      <c r="I473" s="0">
        <v>54</v>
      </c>
      <c r="J473" s="0">
        <v>2781</v>
      </c>
    </row>
    <row r="474">
      <c r="A474" s="0" t="s">
        <v>28</v>
      </c>
      <c r="B474" s="0" t="s">
        <v>30</v>
      </c>
      <c r="C474" s="0" t="s">
        <v>186</v>
      </c>
      <c r="D474" s="0" t="s">
        <v>297</v>
      </c>
      <c r="E474" s="0" t="s">
        <v>154</v>
      </c>
      <c r="F474" s="0" t="s">
        <v>632</v>
      </c>
      <c r="G474" s="0" t="s">
        <v>298</v>
      </c>
      <c r="H474" s="0">
        <v>12</v>
      </c>
      <c r="I474" s="0">
        <v>54</v>
      </c>
      <c r="J474" s="0">
        <v>2781</v>
      </c>
    </row>
    <row r="475">
      <c r="A475" s="0" t="s">
        <v>28</v>
      </c>
      <c r="B475" s="0" t="s">
        <v>30</v>
      </c>
      <c r="C475" s="0" t="s">
        <v>186</v>
      </c>
      <c r="D475" s="0" t="s">
        <v>297</v>
      </c>
      <c r="E475" s="0" t="s">
        <v>154</v>
      </c>
      <c r="F475" s="0" t="s">
        <v>633</v>
      </c>
      <c r="G475" s="0" t="s">
        <v>634</v>
      </c>
      <c r="H475" s="0">
        <v>12</v>
      </c>
      <c r="I475" s="0">
        <v>54</v>
      </c>
      <c r="J475" s="0">
        <v>2781</v>
      </c>
    </row>
    <row r="476">
      <c r="A476" s="0" t="s">
        <v>28</v>
      </c>
      <c r="B476" s="0" t="s">
        <v>30</v>
      </c>
      <c r="C476" s="0" t="s">
        <v>186</v>
      </c>
      <c r="D476" s="0" t="s">
        <v>297</v>
      </c>
      <c r="E476" s="0" t="s">
        <v>154</v>
      </c>
      <c r="F476" s="0" t="s">
        <v>635</v>
      </c>
      <c r="G476" s="0" t="s">
        <v>634</v>
      </c>
      <c r="H476" s="0">
        <v>12</v>
      </c>
      <c r="I476" s="0">
        <v>54</v>
      </c>
      <c r="J476" s="0">
        <v>2781</v>
      </c>
    </row>
    <row r="477">
      <c r="A477" s="0" t="s">
        <v>28</v>
      </c>
      <c r="B477" s="0" t="s">
        <v>30</v>
      </c>
      <c r="C477" s="0" t="s">
        <v>186</v>
      </c>
      <c r="D477" s="0" t="s">
        <v>297</v>
      </c>
      <c r="E477" s="0" t="s">
        <v>154</v>
      </c>
      <c r="F477" s="0" t="s">
        <v>636</v>
      </c>
      <c r="G477" s="0" t="s">
        <v>114</v>
      </c>
      <c r="H477" s="0">
        <v>12</v>
      </c>
      <c r="I477" s="0">
        <v>54</v>
      </c>
      <c r="J477" s="0">
        <v>2781</v>
      </c>
    </row>
    <row r="478">
      <c r="A478" s="0" t="s">
        <v>28</v>
      </c>
      <c r="B478" s="0" t="s">
        <v>30</v>
      </c>
      <c r="C478" s="0" t="s">
        <v>186</v>
      </c>
      <c r="D478" s="0" t="s">
        <v>297</v>
      </c>
      <c r="E478" s="0" t="s">
        <v>154</v>
      </c>
      <c r="F478" s="0" t="s">
        <v>637</v>
      </c>
      <c r="G478" s="0" t="s">
        <v>607</v>
      </c>
      <c r="H478" s="0">
        <v>12</v>
      </c>
      <c r="I478" s="0">
        <v>54</v>
      </c>
      <c r="J478" s="0">
        <v>2781</v>
      </c>
    </row>
    <row r="479">
      <c r="A479" s="0" t="s">
        <v>28</v>
      </c>
      <c r="B479" s="0" t="s">
        <v>30</v>
      </c>
      <c r="C479" s="0" t="s">
        <v>186</v>
      </c>
      <c r="D479" s="0" t="s">
        <v>297</v>
      </c>
      <c r="E479" s="0" t="s">
        <v>154</v>
      </c>
      <c r="F479" s="0" t="s">
        <v>638</v>
      </c>
      <c r="G479" s="0" t="s">
        <v>837</v>
      </c>
      <c r="H479" s="0">
        <v>12</v>
      </c>
      <c r="I479" s="0">
        <v>54</v>
      </c>
      <c r="J479" s="0">
        <v>2781</v>
      </c>
    </row>
    <row r="480">
      <c r="A480" s="0" t="s">
        <v>28</v>
      </c>
      <c r="B480" s="0" t="s">
        <v>30</v>
      </c>
      <c r="C480" s="0" t="s">
        <v>186</v>
      </c>
      <c r="D480" s="0" t="s">
        <v>297</v>
      </c>
      <c r="E480" s="0" t="s">
        <v>154</v>
      </c>
      <c r="F480" s="0" t="s">
        <v>640</v>
      </c>
      <c r="G480" s="0" t="s">
        <v>114</v>
      </c>
      <c r="H480" s="0">
        <v>12</v>
      </c>
      <c r="I480" s="0">
        <v>54</v>
      </c>
      <c r="J480" s="0">
        <v>2781</v>
      </c>
    </row>
    <row r="481">
      <c r="A481" s="0" t="s">
        <v>28</v>
      </c>
      <c r="B481" s="0" t="s">
        <v>30</v>
      </c>
      <c r="C481" s="0" t="s">
        <v>186</v>
      </c>
      <c r="D481" s="0" t="s">
        <v>297</v>
      </c>
      <c r="E481" s="0" t="s">
        <v>154</v>
      </c>
      <c r="F481" s="0" t="s">
        <v>641</v>
      </c>
      <c r="G481" s="0" t="s">
        <v>838</v>
      </c>
      <c r="H481" s="0">
        <v>12</v>
      </c>
      <c r="I481" s="0">
        <v>54</v>
      </c>
      <c r="J481" s="0">
        <v>2781</v>
      </c>
    </row>
    <row r="482">
      <c r="A482" s="0" t="s">
        <v>28</v>
      </c>
      <c r="B482" s="0" t="s">
        <v>30</v>
      </c>
      <c r="C482" s="0" t="s">
        <v>186</v>
      </c>
      <c r="D482" s="0" t="s">
        <v>297</v>
      </c>
      <c r="E482" s="0" t="s">
        <v>154</v>
      </c>
      <c r="F482" s="0" t="s">
        <v>643</v>
      </c>
      <c r="G482" s="0" t="s">
        <v>114</v>
      </c>
      <c r="H482" s="0">
        <v>12</v>
      </c>
      <c r="I482" s="0">
        <v>54</v>
      </c>
      <c r="J482" s="0">
        <v>2781</v>
      </c>
    </row>
    <row r="483">
      <c r="A483" s="0" t="s">
        <v>28</v>
      </c>
      <c r="B483" s="0" t="s">
        <v>30</v>
      </c>
      <c r="C483" s="0" t="s">
        <v>186</v>
      </c>
      <c r="D483" s="0" t="s">
        <v>297</v>
      </c>
      <c r="E483" s="0" t="s">
        <v>154</v>
      </c>
      <c r="F483" s="0" t="s">
        <v>644</v>
      </c>
      <c r="G483" s="0" t="s">
        <v>341</v>
      </c>
      <c r="H483" s="0">
        <v>12</v>
      </c>
      <c r="I483" s="0">
        <v>54</v>
      </c>
      <c r="J483" s="0">
        <v>2781</v>
      </c>
    </row>
    <row r="484">
      <c r="A484" s="0" t="s">
        <v>28</v>
      </c>
      <c r="B484" s="0" t="s">
        <v>30</v>
      </c>
      <c r="C484" s="0" t="s">
        <v>186</v>
      </c>
      <c r="D484" s="0" t="s">
        <v>297</v>
      </c>
      <c r="E484" s="0" t="s">
        <v>154</v>
      </c>
      <c r="F484" s="0" t="s">
        <v>645</v>
      </c>
      <c r="G484" s="0" t="s">
        <v>646</v>
      </c>
      <c r="H484" s="0">
        <v>12</v>
      </c>
      <c r="I484" s="0">
        <v>54</v>
      </c>
      <c r="J484" s="0">
        <v>2781</v>
      </c>
    </row>
    <row r="485">
      <c r="A485" s="0" t="s">
        <v>28</v>
      </c>
      <c r="B485" s="0" t="s">
        <v>30</v>
      </c>
      <c r="C485" s="0" t="s">
        <v>186</v>
      </c>
      <c r="D485" s="0" t="s">
        <v>297</v>
      </c>
      <c r="E485" s="0" t="s">
        <v>154</v>
      </c>
      <c r="F485" s="0" t="s">
        <v>647</v>
      </c>
      <c r="G485" s="0" t="s">
        <v>839</v>
      </c>
      <c r="H485" s="0">
        <v>12</v>
      </c>
      <c r="I485" s="0">
        <v>54</v>
      </c>
      <c r="J485" s="0">
        <v>2781</v>
      </c>
    </row>
    <row r="486">
      <c r="A486" s="0" t="s">
        <v>28</v>
      </c>
      <c r="B486" s="0" t="s">
        <v>30</v>
      </c>
      <c r="C486" s="0" t="s">
        <v>186</v>
      </c>
      <c r="D486" s="0" t="s">
        <v>297</v>
      </c>
      <c r="E486" s="0" t="s">
        <v>154</v>
      </c>
      <c r="F486" s="0" t="s">
        <v>649</v>
      </c>
      <c r="G486" s="0" t="s">
        <v>269</v>
      </c>
      <c r="H486" s="0">
        <v>12</v>
      </c>
      <c r="I486" s="0">
        <v>54</v>
      </c>
      <c r="J486" s="0">
        <v>2781</v>
      </c>
    </row>
    <row r="487">
      <c r="A487" s="0" t="s">
        <v>28</v>
      </c>
      <c r="B487" s="0" t="s">
        <v>30</v>
      </c>
      <c r="C487" s="0" t="s">
        <v>186</v>
      </c>
      <c r="D487" s="0" t="s">
        <v>297</v>
      </c>
      <c r="E487" s="0" t="s">
        <v>154</v>
      </c>
      <c r="F487" s="0" t="s">
        <v>650</v>
      </c>
      <c r="G487" s="0" t="s">
        <v>651</v>
      </c>
      <c r="H487" s="0">
        <v>12</v>
      </c>
      <c r="I487" s="0">
        <v>54</v>
      </c>
      <c r="J487" s="0">
        <v>2781</v>
      </c>
    </row>
    <row r="488">
      <c r="A488" s="0" t="s">
        <v>28</v>
      </c>
      <c r="B488" s="0" t="s">
        <v>30</v>
      </c>
      <c r="C488" s="0" t="s">
        <v>186</v>
      </c>
      <c r="D488" s="0" t="s">
        <v>297</v>
      </c>
      <c r="E488" s="0" t="s">
        <v>154</v>
      </c>
      <c r="F488" s="0" t="s">
        <v>840</v>
      </c>
      <c r="G488" s="0" t="s">
        <v>841</v>
      </c>
      <c r="H488" s="0">
        <v>12</v>
      </c>
      <c r="I488" s="0">
        <v>54</v>
      </c>
      <c r="J488" s="0">
        <v>2781</v>
      </c>
    </row>
    <row r="489">
      <c r="A489" s="0" t="s">
        <v>28</v>
      </c>
      <c r="B489" s="0" t="s">
        <v>30</v>
      </c>
      <c r="C489" s="0" t="s">
        <v>186</v>
      </c>
      <c r="D489" s="0" t="s">
        <v>297</v>
      </c>
      <c r="E489" s="0" t="s">
        <v>154</v>
      </c>
      <c r="F489" s="0" t="s">
        <v>652</v>
      </c>
      <c r="G489" s="0" t="s">
        <v>842</v>
      </c>
      <c r="H489" s="0">
        <v>12</v>
      </c>
      <c r="I489" s="0">
        <v>54</v>
      </c>
      <c r="J489" s="0">
        <v>2781</v>
      </c>
    </row>
    <row r="490">
      <c r="A490" s="0" t="s">
        <v>28</v>
      </c>
      <c r="B490" s="0" t="s">
        <v>30</v>
      </c>
      <c r="C490" s="0" t="s">
        <v>186</v>
      </c>
      <c r="D490" s="0" t="s">
        <v>297</v>
      </c>
      <c r="E490" s="0" t="s">
        <v>154</v>
      </c>
      <c r="F490" s="0" t="s">
        <v>654</v>
      </c>
      <c r="G490" s="0" t="s">
        <v>655</v>
      </c>
      <c r="H490" s="0">
        <v>12</v>
      </c>
      <c r="I490" s="0">
        <v>54</v>
      </c>
      <c r="J490" s="0">
        <v>2781</v>
      </c>
    </row>
    <row r="491">
      <c r="A491" s="0" t="s">
        <v>28</v>
      </c>
      <c r="B491" s="0" t="s">
        <v>30</v>
      </c>
      <c r="C491" s="0" t="s">
        <v>186</v>
      </c>
      <c r="D491" s="0" t="s">
        <v>297</v>
      </c>
      <c r="E491" s="0" t="s">
        <v>154</v>
      </c>
      <c r="F491" s="0" t="s">
        <v>656</v>
      </c>
      <c r="G491" s="0" t="s">
        <v>602</v>
      </c>
      <c r="H491" s="0">
        <v>12</v>
      </c>
      <c r="I491" s="0">
        <v>54</v>
      </c>
      <c r="J491" s="0">
        <v>2781</v>
      </c>
    </row>
    <row r="492">
      <c r="A492" s="0" t="s">
        <v>28</v>
      </c>
      <c r="B492" s="0" t="s">
        <v>30</v>
      </c>
      <c r="C492" s="0" t="s">
        <v>186</v>
      </c>
      <c r="D492" s="0" t="s">
        <v>297</v>
      </c>
      <c r="E492" s="0" t="s">
        <v>154</v>
      </c>
      <c r="F492" s="0" t="s">
        <v>657</v>
      </c>
      <c r="G492" s="0" t="s">
        <v>300</v>
      </c>
      <c r="H492" s="0">
        <v>12</v>
      </c>
      <c r="I492" s="0">
        <v>54</v>
      </c>
      <c r="J492" s="0">
        <v>2781</v>
      </c>
    </row>
    <row r="493">
      <c r="A493" s="0" t="s">
        <v>28</v>
      </c>
      <c r="B493" s="0" t="s">
        <v>30</v>
      </c>
      <c r="C493" s="0" t="s">
        <v>186</v>
      </c>
      <c r="D493" s="0" t="s">
        <v>297</v>
      </c>
      <c r="E493" s="0" t="s">
        <v>154</v>
      </c>
      <c r="F493" s="0" t="s">
        <v>658</v>
      </c>
      <c r="G493" s="0" t="s">
        <v>555</v>
      </c>
      <c r="H493" s="0">
        <v>12</v>
      </c>
      <c r="I493" s="0">
        <v>54</v>
      </c>
      <c r="J493" s="0">
        <v>2781</v>
      </c>
    </row>
    <row r="494">
      <c r="A494" s="0" t="s">
        <v>28</v>
      </c>
      <c r="B494" s="0" t="s">
        <v>30</v>
      </c>
      <c r="C494" s="0" t="s">
        <v>186</v>
      </c>
      <c r="D494" s="0" t="s">
        <v>297</v>
      </c>
      <c r="E494" s="0" t="s">
        <v>154</v>
      </c>
      <c r="F494" s="0" t="s">
        <v>843</v>
      </c>
      <c r="G494" s="0" t="s">
        <v>844</v>
      </c>
      <c r="H494" s="0">
        <v>12</v>
      </c>
      <c r="I494" s="0">
        <v>54</v>
      </c>
      <c r="J494" s="0">
        <v>2781</v>
      </c>
    </row>
    <row r="495">
      <c r="A495" s="0" t="s">
        <v>28</v>
      </c>
      <c r="B495" s="0" t="s">
        <v>30</v>
      </c>
      <c r="C495" s="0" t="s">
        <v>186</v>
      </c>
      <c r="D495" s="0" t="s">
        <v>297</v>
      </c>
      <c r="E495" s="0" t="s">
        <v>154</v>
      </c>
      <c r="F495" s="0" t="s">
        <v>659</v>
      </c>
      <c r="G495" s="0" t="s">
        <v>845</v>
      </c>
      <c r="H495" s="0">
        <v>12</v>
      </c>
      <c r="I495" s="0">
        <v>54</v>
      </c>
      <c r="J495" s="0">
        <v>2781</v>
      </c>
    </row>
    <row r="496">
      <c r="A496" s="0" t="s">
        <v>28</v>
      </c>
      <c r="B496" s="0" t="s">
        <v>30</v>
      </c>
      <c r="C496" s="0" t="s">
        <v>186</v>
      </c>
      <c r="D496" s="0" t="s">
        <v>297</v>
      </c>
      <c r="E496" s="0" t="s">
        <v>154</v>
      </c>
      <c r="F496" s="0" t="s">
        <v>661</v>
      </c>
      <c r="G496" s="0" t="s">
        <v>778</v>
      </c>
      <c r="H496" s="0">
        <v>12</v>
      </c>
      <c r="I496" s="0">
        <v>54</v>
      </c>
      <c r="J496" s="0">
        <v>2781</v>
      </c>
    </row>
    <row r="497">
      <c r="A497" s="0" t="s">
        <v>28</v>
      </c>
      <c r="B497" s="0" t="s">
        <v>30</v>
      </c>
      <c r="C497" s="0" t="s">
        <v>186</v>
      </c>
      <c r="D497" s="0" t="s">
        <v>297</v>
      </c>
      <c r="E497" s="0" t="s">
        <v>154</v>
      </c>
      <c r="F497" s="0" t="s">
        <v>663</v>
      </c>
      <c r="G497" s="0" t="s">
        <v>114</v>
      </c>
      <c r="H497" s="0">
        <v>12</v>
      </c>
      <c r="I497" s="0">
        <v>54</v>
      </c>
      <c r="J497" s="0">
        <v>2781</v>
      </c>
    </row>
    <row r="498">
      <c r="A498" s="0" t="s">
        <v>28</v>
      </c>
      <c r="B498" s="0" t="s">
        <v>30</v>
      </c>
      <c r="C498" s="0" t="s">
        <v>186</v>
      </c>
      <c r="D498" s="0" t="s">
        <v>297</v>
      </c>
      <c r="E498" s="0" t="s">
        <v>154</v>
      </c>
      <c r="F498" s="0" t="s">
        <v>664</v>
      </c>
      <c r="G498" s="0" t="s">
        <v>846</v>
      </c>
      <c r="H498" s="0">
        <v>12</v>
      </c>
      <c r="I498" s="0">
        <v>54</v>
      </c>
      <c r="J498" s="0">
        <v>2781</v>
      </c>
    </row>
    <row r="499">
      <c r="A499" s="0" t="s">
        <v>28</v>
      </c>
      <c r="B499" s="0" t="s">
        <v>30</v>
      </c>
      <c r="C499" s="0" t="s">
        <v>186</v>
      </c>
      <c r="D499" s="0" t="s">
        <v>297</v>
      </c>
      <c r="E499" s="0" t="s">
        <v>154</v>
      </c>
      <c r="F499" s="0" t="s">
        <v>666</v>
      </c>
      <c r="G499" s="0" t="s">
        <v>823</v>
      </c>
      <c r="H499" s="0">
        <v>12</v>
      </c>
      <c r="I499" s="0">
        <v>54</v>
      </c>
      <c r="J499" s="0">
        <v>2781</v>
      </c>
    </row>
    <row r="500">
      <c r="A500" s="0" t="s">
        <v>28</v>
      </c>
      <c r="B500" s="0" t="s">
        <v>30</v>
      </c>
      <c r="C500" s="0" t="s">
        <v>186</v>
      </c>
      <c r="D500" s="0" t="s">
        <v>297</v>
      </c>
      <c r="E500" s="0" t="s">
        <v>154</v>
      </c>
      <c r="F500" s="0" t="s">
        <v>667</v>
      </c>
      <c r="G500" s="0" t="s">
        <v>847</v>
      </c>
      <c r="H500" s="0">
        <v>12</v>
      </c>
      <c r="I500" s="0">
        <v>54</v>
      </c>
      <c r="J500" s="0">
        <v>2781</v>
      </c>
    </row>
    <row r="501">
      <c r="A501" s="0" t="s">
        <v>28</v>
      </c>
      <c r="B501" s="0" t="s">
        <v>30</v>
      </c>
      <c r="C501" s="0" t="s">
        <v>186</v>
      </c>
      <c r="D501" s="0" t="s">
        <v>297</v>
      </c>
      <c r="E501" s="0" t="s">
        <v>154</v>
      </c>
      <c r="F501" s="0" t="s">
        <v>669</v>
      </c>
      <c r="G501" s="0" t="s">
        <v>555</v>
      </c>
      <c r="H501" s="0">
        <v>12</v>
      </c>
      <c r="I501" s="0">
        <v>54</v>
      </c>
      <c r="J501" s="0">
        <v>2781</v>
      </c>
    </row>
    <row r="502">
      <c r="A502" s="0" t="s">
        <v>28</v>
      </c>
      <c r="B502" s="0" t="s">
        <v>30</v>
      </c>
      <c r="C502" s="0" t="s">
        <v>186</v>
      </c>
      <c r="D502" s="0" t="s">
        <v>297</v>
      </c>
      <c r="E502" s="0" t="s">
        <v>154</v>
      </c>
      <c r="F502" s="0" t="s">
        <v>670</v>
      </c>
      <c r="G502" s="0" t="s">
        <v>848</v>
      </c>
      <c r="H502" s="0">
        <v>12</v>
      </c>
      <c r="I502" s="0">
        <v>54</v>
      </c>
      <c r="J502" s="0">
        <v>2781</v>
      </c>
    </row>
    <row r="503">
      <c r="A503" s="0" t="s">
        <v>28</v>
      </c>
      <c r="B503" s="0" t="s">
        <v>30</v>
      </c>
      <c r="C503" s="0" t="s">
        <v>186</v>
      </c>
      <c r="D503" s="0" t="s">
        <v>297</v>
      </c>
      <c r="E503" s="0" t="s">
        <v>154</v>
      </c>
      <c r="F503" s="0" t="s">
        <v>672</v>
      </c>
      <c r="G503" s="0" t="s">
        <v>498</v>
      </c>
      <c r="H503" s="0">
        <v>12</v>
      </c>
      <c r="I503" s="0">
        <v>54</v>
      </c>
      <c r="J503" s="0">
        <v>2781</v>
      </c>
    </row>
    <row r="504">
      <c r="A504" s="0" t="s">
        <v>28</v>
      </c>
      <c r="B504" s="0" t="s">
        <v>30</v>
      </c>
      <c r="C504" s="0" t="s">
        <v>186</v>
      </c>
      <c r="D504" s="0" t="s">
        <v>297</v>
      </c>
      <c r="E504" s="0" t="s">
        <v>154</v>
      </c>
      <c r="F504" s="0" t="s">
        <v>673</v>
      </c>
      <c r="G504" s="0" t="s">
        <v>827</v>
      </c>
      <c r="H504" s="0">
        <v>12</v>
      </c>
      <c r="I504" s="0">
        <v>54</v>
      </c>
      <c r="J504" s="0">
        <v>2781</v>
      </c>
    </row>
    <row r="505">
      <c r="A505" s="0" t="s">
        <v>28</v>
      </c>
      <c r="B505" s="0" t="s">
        <v>30</v>
      </c>
      <c r="C505" s="0" t="s">
        <v>186</v>
      </c>
      <c r="D505" s="0" t="s">
        <v>297</v>
      </c>
      <c r="E505" s="0" t="s">
        <v>154</v>
      </c>
      <c r="F505" s="0" t="s">
        <v>674</v>
      </c>
      <c r="G505" s="0" t="s">
        <v>341</v>
      </c>
      <c r="H505" s="0">
        <v>12</v>
      </c>
      <c r="I505" s="0">
        <v>54</v>
      </c>
      <c r="J505" s="0">
        <v>2781</v>
      </c>
    </row>
    <row r="506">
      <c r="A506" s="0" t="s">
        <v>28</v>
      </c>
      <c r="B506" s="0" t="s">
        <v>30</v>
      </c>
      <c r="C506" s="0" t="s">
        <v>186</v>
      </c>
      <c r="D506" s="0" t="s">
        <v>297</v>
      </c>
      <c r="E506" s="0" t="s">
        <v>154</v>
      </c>
      <c r="F506" s="0" t="s">
        <v>675</v>
      </c>
      <c r="G506" s="0" t="s">
        <v>849</v>
      </c>
      <c r="H506" s="0">
        <v>12</v>
      </c>
      <c r="I506" s="0">
        <v>54</v>
      </c>
      <c r="J506" s="0">
        <v>2781</v>
      </c>
    </row>
    <row r="507">
      <c r="A507" s="0" t="s">
        <v>28</v>
      </c>
      <c r="B507" s="0" t="s">
        <v>30</v>
      </c>
      <c r="C507" s="0" t="s">
        <v>186</v>
      </c>
      <c r="D507" s="0" t="s">
        <v>297</v>
      </c>
      <c r="E507" s="0" t="s">
        <v>154</v>
      </c>
      <c r="F507" s="0" t="s">
        <v>677</v>
      </c>
      <c r="G507" s="0" t="s">
        <v>555</v>
      </c>
      <c r="H507" s="0">
        <v>12</v>
      </c>
      <c r="I507" s="0">
        <v>54</v>
      </c>
      <c r="J507" s="0">
        <v>2781</v>
      </c>
    </row>
    <row r="508">
      <c r="A508" s="0" t="s">
        <v>28</v>
      </c>
      <c r="B508" s="0" t="s">
        <v>30</v>
      </c>
      <c r="C508" s="0" t="s">
        <v>186</v>
      </c>
      <c r="D508" s="0" t="s">
        <v>297</v>
      </c>
      <c r="E508" s="0" t="s">
        <v>154</v>
      </c>
      <c r="F508" s="0" t="s">
        <v>678</v>
      </c>
      <c r="G508" s="0" t="s">
        <v>850</v>
      </c>
      <c r="H508" s="0">
        <v>12</v>
      </c>
      <c r="I508" s="0">
        <v>54</v>
      </c>
      <c r="J508" s="0">
        <v>2781</v>
      </c>
    </row>
    <row r="509">
      <c r="A509" s="0" t="s">
        <v>28</v>
      </c>
      <c r="B509" s="0" t="s">
        <v>30</v>
      </c>
      <c r="C509" s="0" t="s">
        <v>186</v>
      </c>
      <c r="D509" s="0" t="s">
        <v>297</v>
      </c>
      <c r="E509" s="0" t="s">
        <v>154</v>
      </c>
      <c r="F509" s="0" t="s">
        <v>680</v>
      </c>
      <c r="G509" s="0" t="s">
        <v>851</v>
      </c>
      <c r="H509" s="0">
        <v>12</v>
      </c>
      <c r="I509" s="0">
        <v>54</v>
      </c>
      <c r="J509" s="0">
        <v>2781</v>
      </c>
    </row>
    <row r="510">
      <c r="A510" s="0" t="s">
        <v>28</v>
      </c>
      <c r="B510" s="0" t="s">
        <v>30</v>
      </c>
      <c r="C510" s="0" t="s">
        <v>186</v>
      </c>
      <c r="D510" s="0" t="s">
        <v>297</v>
      </c>
      <c r="E510" s="0" t="s">
        <v>154</v>
      </c>
      <c r="F510" s="0" t="s">
        <v>682</v>
      </c>
      <c r="G510" s="0" t="s">
        <v>554</v>
      </c>
      <c r="H510" s="0">
        <v>12</v>
      </c>
      <c r="I510" s="0">
        <v>54</v>
      </c>
      <c r="J510" s="0">
        <v>2781</v>
      </c>
    </row>
    <row r="511">
      <c r="A511" s="0" t="s">
        <v>28</v>
      </c>
      <c r="B511" s="0" t="s">
        <v>30</v>
      </c>
      <c r="C511" s="0" t="s">
        <v>186</v>
      </c>
      <c r="D511" s="0" t="s">
        <v>297</v>
      </c>
      <c r="E511" s="0" t="s">
        <v>154</v>
      </c>
      <c r="F511" s="0" t="s">
        <v>683</v>
      </c>
      <c r="G511" s="0" t="s">
        <v>382</v>
      </c>
      <c r="H511" s="0">
        <v>12</v>
      </c>
      <c r="I511" s="0">
        <v>54</v>
      </c>
      <c r="J511" s="0">
        <v>2781</v>
      </c>
    </row>
    <row r="512">
      <c r="A512" s="0" t="s">
        <v>28</v>
      </c>
      <c r="B512" s="0" t="s">
        <v>30</v>
      </c>
      <c r="C512" s="0" t="s">
        <v>186</v>
      </c>
      <c r="D512" s="0" t="s">
        <v>297</v>
      </c>
      <c r="E512" s="0" t="s">
        <v>154</v>
      </c>
      <c r="F512" s="0" t="s">
        <v>685</v>
      </c>
      <c r="G512" s="0" t="s">
        <v>686</v>
      </c>
      <c r="H512" s="0">
        <v>12</v>
      </c>
      <c r="I512" s="0">
        <v>54</v>
      </c>
      <c r="J512" s="0">
        <v>2781</v>
      </c>
    </row>
    <row r="513">
      <c r="A513" s="0" t="s">
        <v>28</v>
      </c>
      <c r="B513" s="0" t="s">
        <v>30</v>
      </c>
      <c r="C513" s="0" t="s">
        <v>186</v>
      </c>
      <c r="D513" s="0" t="s">
        <v>297</v>
      </c>
      <c r="E513" s="0" t="s">
        <v>154</v>
      </c>
      <c r="F513" s="0" t="s">
        <v>687</v>
      </c>
      <c r="G513" s="0" t="s">
        <v>688</v>
      </c>
      <c r="H513" s="0">
        <v>12</v>
      </c>
      <c r="I513" s="0">
        <v>54</v>
      </c>
      <c r="J513" s="0">
        <v>2781</v>
      </c>
    </row>
    <row r="514">
      <c r="A514" s="0" t="s">
        <v>28</v>
      </c>
      <c r="B514" s="0" t="s">
        <v>30</v>
      </c>
      <c r="C514" s="0" t="s">
        <v>186</v>
      </c>
      <c r="D514" s="0" t="s">
        <v>297</v>
      </c>
      <c r="E514" s="0" t="s">
        <v>154</v>
      </c>
      <c r="F514" s="0" t="s">
        <v>690</v>
      </c>
      <c r="G514" s="0" t="s">
        <v>607</v>
      </c>
      <c r="H514" s="0">
        <v>12</v>
      </c>
      <c r="I514" s="0">
        <v>54</v>
      </c>
      <c r="J514" s="0">
        <v>2781</v>
      </c>
    </row>
    <row r="515">
      <c r="A515" s="0" t="s">
        <v>28</v>
      </c>
      <c r="B515" s="0" t="s">
        <v>30</v>
      </c>
      <c r="C515" s="0" t="s">
        <v>186</v>
      </c>
      <c r="D515" s="0" t="s">
        <v>297</v>
      </c>
      <c r="E515" s="0" t="s">
        <v>154</v>
      </c>
      <c r="F515" s="0" t="s">
        <v>691</v>
      </c>
      <c r="G515" s="0" t="s">
        <v>692</v>
      </c>
      <c r="H515" s="0">
        <v>12</v>
      </c>
      <c r="I515" s="0">
        <v>54</v>
      </c>
      <c r="J515" s="0">
        <v>2781</v>
      </c>
    </row>
    <row r="516">
      <c r="A516" s="0" t="s">
        <v>28</v>
      </c>
      <c r="B516" s="0" t="s">
        <v>30</v>
      </c>
      <c r="C516" s="0" t="s">
        <v>186</v>
      </c>
      <c r="D516" s="0" t="s">
        <v>297</v>
      </c>
      <c r="E516" s="0" t="s">
        <v>154</v>
      </c>
      <c r="F516" s="0" t="s">
        <v>693</v>
      </c>
      <c r="G516" s="0" t="s">
        <v>694</v>
      </c>
      <c r="H516" s="0">
        <v>12</v>
      </c>
      <c r="I516" s="0">
        <v>54</v>
      </c>
      <c r="J516" s="0">
        <v>2781</v>
      </c>
    </row>
    <row r="517">
      <c r="A517" s="0" t="s">
        <v>28</v>
      </c>
      <c r="B517" s="0" t="s">
        <v>30</v>
      </c>
      <c r="C517" s="0" t="s">
        <v>186</v>
      </c>
      <c r="D517" s="0" t="s">
        <v>297</v>
      </c>
      <c r="E517" s="0" t="s">
        <v>154</v>
      </c>
      <c r="F517" s="0" t="s">
        <v>852</v>
      </c>
      <c r="G517" s="0" t="s">
        <v>853</v>
      </c>
      <c r="H517" s="0">
        <v>12</v>
      </c>
      <c r="I517" s="0">
        <v>54</v>
      </c>
      <c r="J517" s="0">
        <v>2781</v>
      </c>
    </row>
    <row r="518">
      <c r="A518" s="0" t="s">
        <v>28</v>
      </c>
      <c r="B518" s="0" t="s">
        <v>30</v>
      </c>
      <c r="C518" s="0" t="s">
        <v>186</v>
      </c>
      <c r="D518" s="0" t="s">
        <v>297</v>
      </c>
      <c r="E518" s="0" t="s">
        <v>154</v>
      </c>
      <c r="F518" s="0" t="s">
        <v>695</v>
      </c>
      <c r="G518" s="0" t="s">
        <v>300</v>
      </c>
      <c r="H518" s="0">
        <v>12</v>
      </c>
      <c r="I518" s="0">
        <v>54</v>
      </c>
      <c r="J518" s="0">
        <v>2781</v>
      </c>
    </row>
    <row r="519">
      <c r="A519" s="0" t="s">
        <v>28</v>
      </c>
      <c r="B519" s="0" t="s">
        <v>30</v>
      </c>
      <c r="C519" s="0" t="s">
        <v>186</v>
      </c>
      <c r="D519" s="0" t="s">
        <v>297</v>
      </c>
      <c r="E519" s="0" t="s">
        <v>154</v>
      </c>
      <c r="F519" s="0" t="s">
        <v>696</v>
      </c>
      <c r="G519" s="0" t="s">
        <v>697</v>
      </c>
      <c r="H519" s="0">
        <v>12</v>
      </c>
      <c r="I519" s="0">
        <v>54</v>
      </c>
      <c r="J519" s="0">
        <v>2781</v>
      </c>
    </row>
    <row r="520">
      <c r="A520" s="0" t="s">
        <v>28</v>
      </c>
      <c r="B520" s="0" t="s">
        <v>30</v>
      </c>
      <c r="C520" s="0" t="s">
        <v>186</v>
      </c>
      <c r="D520" s="0" t="s">
        <v>297</v>
      </c>
      <c r="E520" s="0" t="s">
        <v>154</v>
      </c>
      <c r="F520" s="0" t="s">
        <v>698</v>
      </c>
      <c r="G520" s="0" t="s">
        <v>602</v>
      </c>
      <c r="H520" s="0">
        <v>12</v>
      </c>
      <c r="I520" s="0">
        <v>54</v>
      </c>
      <c r="J520" s="0">
        <v>2781</v>
      </c>
    </row>
    <row r="521">
      <c r="A521" s="0" t="s">
        <v>28</v>
      </c>
      <c r="B521" s="0" t="s">
        <v>30</v>
      </c>
      <c r="C521" s="0" t="s">
        <v>186</v>
      </c>
      <c r="D521" s="0" t="s">
        <v>297</v>
      </c>
      <c r="E521" s="0" t="s">
        <v>154</v>
      </c>
      <c r="F521" s="0" t="s">
        <v>699</v>
      </c>
      <c r="G521" s="0" t="s">
        <v>700</v>
      </c>
      <c r="H521" s="0">
        <v>12</v>
      </c>
      <c r="I521" s="0">
        <v>54</v>
      </c>
      <c r="J521" s="0">
        <v>2781</v>
      </c>
    </row>
    <row r="522">
      <c r="A522" s="0" t="s">
        <v>28</v>
      </c>
      <c r="B522" s="0" t="s">
        <v>30</v>
      </c>
      <c r="C522" s="0" t="s">
        <v>186</v>
      </c>
      <c r="D522" s="0" t="s">
        <v>297</v>
      </c>
      <c r="E522" s="0" t="s">
        <v>154</v>
      </c>
      <c r="F522" s="0" t="s">
        <v>701</v>
      </c>
      <c r="G522" s="0" t="s">
        <v>854</v>
      </c>
      <c r="H522" s="0">
        <v>12</v>
      </c>
      <c r="I522" s="0">
        <v>54</v>
      </c>
      <c r="J522" s="0">
        <v>2781</v>
      </c>
    </row>
    <row r="523">
      <c r="A523" s="0" t="s">
        <v>28</v>
      </c>
      <c r="B523" s="0" t="s">
        <v>30</v>
      </c>
      <c r="C523" s="0" t="s">
        <v>186</v>
      </c>
      <c r="D523" s="0" t="s">
        <v>297</v>
      </c>
      <c r="E523" s="0" t="s">
        <v>154</v>
      </c>
      <c r="F523" s="0" t="s">
        <v>703</v>
      </c>
      <c r="G523" s="0" t="s">
        <v>855</v>
      </c>
      <c r="H523" s="0">
        <v>12</v>
      </c>
      <c r="I523" s="0">
        <v>54</v>
      </c>
      <c r="J523" s="0">
        <v>2781</v>
      </c>
    </row>
    <row r="524">
      <c r="A524" s="0" t="s">
        <v>28</v>
      </c>
      <c r="B524" s="0" t="s">
        <v>30</v>
      </c>
      <c r="C524" s="0" t="s">
        <v>186</v>
      </c>
      <c r="D524" s="0" t="s">
        <v>297</v>
      </c>
      <c r="E524" s="0" t="s">
        <v>154</v>
      </c>
      <c r="F524" s="0" t="s">
        <v>705</v>
      </c>
      <c r="G524" s="0" t="s">
        <v>379</v>
      </c>
      <c r="H524" s="0">
        <v>12</v>
      </c>
      <c r="I524" s="0">
        <v>54</v>
      </c>
      <c r="J524" s="0">
        <v>2781</v>
      </c>
    </row>
    <row r="525">
      <c r="A525" s="0" t="s">
        <v>28</v>
      </c>
      <c r="B525" s="0" t="s">
        <v>30</v>
      </c>
      <c r="C525" s="0" t="s">
        <v>186</v>
      </c>
      <c r="D525" s="0" t="s">
        <v>297</v>
      </c>
      <c r="E525" s="0" t="s">
        <v>154</v>
      </c>
      <c r="F525" s="0" t="s">
        <v>706</v>
      </c>
      <c r="G525" s="0" t="s">
        <v>370</v>
      </c>
      <c r="H525" s="0">
        <v>12</v>
      </c>
      <c r="I525" s="0">
        <v>54</v>
      </c>
      <c r="J525" s="0">
        <v>2781</v>
      </c>
    </row>
    <row r="526">
      <c r="A526" s="0" t="s">
        <v>28</v>
      </c>
      <c r="B526" s="0" t="s">
        <v>30</v>
      </c>
      <c r="C526" s="0" t="s">
        <v>186</v>
      </c>
      <c r="D526" s="0" t="s">
        <v>297</v>
      </c>
      <c r="E526" s="0" t="s">
        <v>154</v>
      </c>
      <c r="F526" s="0" t="s">
        <v>856</v>
      </c>
      <c r="G526" s="0" t="s">
        <v>114</v>
      </c>
      <c r="H526" s="0">
        <v>12</v>
      </c>
      <c r="I526" s="0">
        <v>54</v>
      </c>
      <c r="J526" s="0">
        <v>2781</v>
      </c>
    </row>
    <row r="527">
      <c r="A527" s="0" t="s">
        <v>28</v>
      </c>
      <c r="B527" s="0" t="s">
        <v>30</v>
      </c>
      <c r="C527" s="0" t="s">
        <v>186</v>
      </c>
      <c r="D527" s="0" t="s">
        <v>297</v>
      </c>
      <c r="E527" s="0" t="s">
        <v>154</v>
      </c>
      <c r="F527" s="0" t="s">
        <v>857</v>
      </c>
      <c r="G527" s="0" t="s">
        <v>114</v>
      </c>
      <c r="H527" s="0">
        <v>12</v>
      </c>
      <c r="I527" s="0">
        <v>54</v>
      </c>
      <c r="J527" s="0">
        <v>2781</v>
      </c>
    </row>
    <row r="528">
      <c r="A528" s="0" t="s">
        <v>28</v>
      </c>
      <c r="B528" s="0" t="s">
        <v>30</v>
      </c>
      <c r="C528" s="0" t="s">
        <v>186</v>
      </c>
      <c r="D528" s="0" t="s">
        <v>297</v>
      </c>
      <c r="E528" s="0" t="s">
        <v>154</v>
      </c>
      <c r="F528" s="0" t="s">
        <v>708</v>
      </c>
      <c r="G528" s="0" t="s">
        <v>858</v>
      </c>
      <c r="H528" s="0">
        <v>12</v>
      </c>
      <c r="I528" s="0">
        <v>54</v>
      </c>
      <c r="J528" s="0">
        <v>2781</v>
      </c>
    </row>
    <row r="529">
      <c r="A529" s="0" t="s">
        <v>28</v>
      </c>
      <c r="B529" s="0" t="s">
        <v>30</v>
      </c>
      <c r="C529" s="0" t="s">
        <v>188</v>
      </c>
      <c r="D529" s="0" t="s">
        <v>302</v>
      </c>
      <c r="E529" s="0" t="s">
        <v>154</v>
      </c>
      <c r="F529" s="0" t="s">
        <v>572</v>
      </c>
      <c r="G529" s="0" t="s">
        <v>573</v>
      </c>
      <c r="H529" s="0">
        <v>12</v>
      </c>
      <c r="I529" s="0">
        <v>53</v>
      </c>
      <c r="J529" s="0">
        <v>2780</v>
      </c>
    </row>
    <row r="530">
      <c r="A530" s="0" t="s">
        <v>28</v>
      </c>
      <c r="B530" s="0" t="s">
        <v>30</v>
      </c>
      <c r="C530" s="0" t="s">
        <v>188</v>
      </c>
      <c r="D530" s="0" t="s">
        <v>302</v>
      </c>
      <c r="E530" s="0" t="s">
        <v>154</v>
      </c>
      <c r="F530" s="0" t="s">
        <v>574</v>
      </c>
      <c r="G530" s="0" t="s">
        <v>341</v>
      </c>
      <c r="H530" s="0">
        <v>12</v>
      </c>
      <c r="I530" s="0">
        <v>53</v>
      </c>
      <c r="J530" s="0">
        <v>2780</v>
      </c>
    </row>
    <row r="531">
      <c r="A531" s="0" t="s">
        <v>28</v>
      </c>
      <c r="B531" s="0" t="s">
        <v>30</v>
      </c>
      <c r="C531" s="0" t="s">
        <v>188</v>
      </c>
      <c r="D531" s="0" t="s">
        <v>302</v>
      </c>
      <c r="E531" s="0" t="s">
        <v>154</v>
      </c>
      <c r="F531" s="0" t="s">
        <v>575</v>
      </c>
      <c r="G531" s="0" t="s">
        <v>391</v>
      </c>
      <c r="H531" s="0">
        <v>12</v>
      </c>
      <c r="I531" s="0">
        <v>53</v>
      </c>
      <c r="J531" s="0">
        <v>2780</v>
      </c>
    </row>
    <row r="532">
      <c r="A532" s="0" t="s">
        <v>28</v>
      </c>
      <c r="B532" s="0" t="s">
        <v>30</v>
      </c>
      <c r="C532" s="0" t="s">
        <v>188</v>
      </c>
      <c r="D532" s="0" t="s">
        <v>302</v>
      </c>
      <c r="E532" s="0" t="s">
        <v>154</v>
      </c>
      <c r="F532" s="0" t="s">
        <v>576</v>
      </c>
      <c r="G532" s="0" t="s">
        <v>819</v>
      </c>
      <c r="H532" s="0">
        <v>12</v>
      </c>
      <c r="I532" s="0">
        <v>53</v>
      </c>
      <c r="J532" s="0">
        <v>2780</v>
      </c>
    </row>
    <row r="533">
      <c r="A533" s="0" t="s">
        <v>28</v>
      </c>
      <c r="B533" s="0" t="s">
        <v>30</v>
      </c>
      <c r="C533" s="0" t="s">
        <v>188</v>
      </c>
      <c r="D533" s="0" t="s">
        <v>302</v>
      </c>
      <c r="E533" s="0" t="s">
        <v>154</v>
      </c>
      <c r="F533" s="0" t="s">
        <v>578</v>
      </c>
      <c r="G533" s="0" t="s">
        <v>820</v>
      </c>
      <c r="H533" s="0">
        <v>12</v>
      </c>
      <c r="I533" s="0">
        <v>53</v>
      </c>
      <c r="J533" s="0">
        <v>2780</v>
      </c>
    </row>
    <row r="534">
      <c r="A534" s="0" t="s">
        <v>28</v>
      </c>
      <c r="B534" s="0" t="s">
        <v>30</v>
      </c>
      <c r="C534" s="0" t="s">
        <v>188</v>
      </c>
      <c r="D534" s="0" t="s">
        <v>302</v>
      </c>
      <c r="E534" s="0" t="s">
        <v>154</v>
      </c>
      <c r="F534" s="0" t="s">
        <v>580</v>
      </c>
      <c r="G534" s="0" t="s">
        <v>859</v>
      </c>
      <c r="H534" s="0">
        <v>12</v>
      </c>
      <c r="I534" s="0">
        <v>53</v>
      </c>
      <c r="J534" s="0">
        <v>2780</v>
      </c>
    </row>
    <row r="535">
      <c r="A535" s="0" t="s">
        <v>28</v>
      </c>
      <c r="B535" s="0" t="s">
        <v>30</v>
      </c>
      <c r="C535" s="0" t="s">
        <v>188</v>
      </c>
      <c r="D535" s="0" t="s">
        <v>302</v>
      </c>
      <c r="E535" s="0" t="s">
        <v>154</v>
      </c>
      <c r="F535" s="0" t="s">
        <v>582</v>
      </c>
      <c r="G535" s="0" t="s">
        <v>860</v>
      </c>
      <c r="H535" s="0">
        <v>12</v>
      </c>
      <c r="I535" s="0">
        <v>53</v>
      </c>
      <c r="J535" s="0">
        <v>2780</v>
      </c>
    </row>
    <row r="536">
      <c r="A536" s="0" t="s">
        <v>28</v>
      </c>
      <c r="B536" s="0" t="s">
        <v>30</v>
      </c>
      <c r="C536" s="0" t="s">
        <v>188</v>
      </c>
      <c r="D536" s="0" t="s">
        <v>302</v>
      </c>
      <c r="E536" s="0" t="s">
        <v>154</v>
      </c>
      <c r="F536" s="0" t="s">
        <v>584</v>
      </c>
      <c r="G536" s="0" t="s">
        <v>823</v>
      </c>
      <c r="H536" s="0">
        <v>12</v>
      </c>
      <c r="I536" s="0">
        <v>53</v>
      </c>
      <c r="J536" s="0">
        <v>2780</v>
      </c>
    </row>
    <row r="537">
      <c r="A537" s="0" t="s">
        <v>28</v>
      </c>
      <c r="B537" s="0" t="s">
        <v>30</v>
      </c>
      <c r="C537" s="0" t="s">
        <v>188</v>
      </c>
      <c r="D537" s="0" t="s">
        <v>302</v>
      </c>
      <c r="E537" s="0" t="s">
        <v>154</v>
      </c>
      <c r="F537" s="0" t="s">
        <v>586</v>
      </c>
      <c r="G537" s="0" t="s">
        <v>587</v>
      </c>
      <c r="H537" s="0">
        <v>12</v>
      </c>
      <c r="I537" s="0">
        <v>53</v>
      </c>
      <c r="J537" s="0">
        <v>2780</v>
      </c>
    </row>
    <row r="538">
      <c r="A538" s="0" t="s">
        <v>28</v>
      </c>
      <c r="B538" s="0" t="s">
        <v>30</v>
      </c>
      <c r="C538" s="0" t="s">
        <v>188</v>
      </c>
      <c r="D538" s="0" t="s">
        <v>302</v>
      </c>
      <c r="E538" s="0" t="s">
        <v>154</v>
      </c>
      <c r="F538" s="0" t="s">
        <v>588</v>
      </c>
      <c r="G538" s="0" t="s">
        <v>824</v>
      </c>
      <c r="H538" s="0">
        <v>12</v>
      </c>
      <c r="I538" s="0">
        <v>53</v>
      </c>
      <c r="J538" s="0">
        <v>2780</v>
      </c>
    </row>
    <row r="539">
      <c r="A539" s="0" t="s">
        <v>28</v>
      </c>
      <c r="B539" s="0" t="s">
        <v>30</v>
      </c>
      <c r="C539" s="0" t="s">
        <v>188</v>
      </c>
      <c r="D539" s="0" t="s">
        <v>302</v>
      </c>
      <c r="E539" s="0" t="s">
        <v>154</v>
      </c>
      <c r="F539" s="0" t="s">
        <v>590</v>
      </c>
      <c r="G539" s="0" t="s">
        <v>861</v>
      </c>
      <c r="H539" s="0">
        <v>12</v>
      </c>
      <c r="I539" s="0">
        <v>53</v>
      </c>
      <c r="J539" s="0">
        <v>2780</v>
      </c>
    </row>
    <row r="540">
      <c r="A540" s="0" t="s">
        <v>28</v>
      </c>
      <c r="B540" s="0" t="s">
        <v>30</v>
      </c>
      <c r="C540" s="0" t="s">
        <v>188</v>
      </c>
      <c r="D540" s="0" t="s">
        <v>302</v>
      </c>
      <c r="E540" s="0" t="s">
        <v>154</v>
      </c>
      <c r="F540" s="0" t="s">
        <v>592</v>
      </c>
      <c r="G540" s="0" t="s">
        <v>498</v>
      </c>
      <c r="H540" s="0">
        <v>12</v>
      </c>
      <c r="I540" s="0">
        <v>53</v>
      </c>
      <c r="J540" s="0">
        <v>2780</v>
      </c>
    </row>
    <row r="541">
      <c r="A541" s="0" t="s">
        <v>28</v>
      </c>
      <c r="B541" s="0" t="s">
        <v>30</v>
      </c>
      <c r="C541" s="0" t="s">
        <v>188</v>
      </c>
      <c r="D541" s="0" t="s">
        <v>302</v>
      </c>
      <c r="E541" s="0" t="s">
        <v>154</v>
      </c>
      <c r="F541" s="0" t="s">
        <v>593</v>
      </c>
      <c r="G541" s="0" t="s">
        <v>862</v>
      </c>
      <c r="H541" s="0">
        <v>12</v>
      </c>
      <c r="I541" s="0">
        <v>53</v>
      </c>
      <c r="J541" s="0">
        <v>2780</v>
      </c>
    </row>
    <row r="542">
      <c r="A542" s="0" t="s">
        <v>28</v>
      </c>
      <c r="B542" s="0" t="s">
        <v>30</v>
      </c>
      <c r="C542" s="0" t="s">
        <v>188</v>
      </c>
      <c r="D542" s="0" t="s">
        <v>302</v>
      </c>
      <c r="E542" s="0" t="s">
        <v>154</v>
      </c>
      <c r="F542" s="0" t="s">
        <v>595</v>
      </c>
      <c r="G542" s="0" t="s">
        <v>826</v>
      </c>
      <c r="H542" s="0">
        <v>12</v>
      </c>
      <c r="I542" s="0">
        <v>53</v>
      </c>
      <c r="J542" s="0">
        <v>2780</v>
      </c>
    </row>
    <row r="543">
      <c r="A543" s="0" t="s">
        <v>28</v>
      </c>
      <c r="B543" s="0" t="s">
        <v>30</v>
      </c>
      <c r="C543" s="0" t="s">
        <v>188</v>
      </c>
      <c r="D543" s="0" t="s">
        <v>302</v>
      </c>
      <c r="E543" s="0" t="s">
        <v>154</v>
      </c>
      <c r="F543" s="0" t="s">
        <v>597</v>
      </c>
      <c r="G543" s="0" t="s">
        <v>829</v>
      </c>
      <c r="H543" s="0">
        <v>12</v>
      </c>
      <c r="I543" s="0">
        <v>53</v>
      </c>
      <c r="J543" s="0">
        <v>2780</v>
      </c>
    </row>
    <row r="544">
      <c r="A544" s="0" t="s">
        <v>28</v>
      </c>
      <c r="B544" s="0" t="s">
        <v>30</v>
      </c>
      <c r="C544" s="0" t="s">
        <v>188</v>
      </c>
      <c r="D544" s="0" t="s">
        <v>302</v>
      </c>
      <c r="E544" s="0" t="s">
        <v>154</v>
      </c>
      <c r="F544" s="0" t="s">
        <v>599</v>
      </c>
      <c r="G544" s="0" t="s">
        <v>600</v>
      </c>
      <c r="H544" s="0">
        <v>12</v>
      </c>
      <c r="I544" s="0">
        <v>53</v>
      </c>
      <c r="J544" s="0">
        <v>2780</v>
      </c>
    </row>
    <row r="545">
      <c r="A545" s="0" t="s">
        <v>28</v>
      </c>
      <c r="B545" s="0" t="s">
        <v>30</v>
      </c>
      <c r="C545" s="0" t="s">
        <v>188</v>
      </c>
      <c r="D545" s="0" t="s">
        <v>302</v>
      </c>
      <c r="E545" s="0" t="s">
        <v>154</v>
      </c>
      <c r="F545" s="0" t="s">
        <v>601</v>
      </c>
      <c r="G545" s="0" t="s">
        <v>602</v>
      </c>
      <c r="H545" s="0">
        <v>12</v>
      </c>
      <c r="I545" s="0">
        <v>53</v>
      </c>
      <c r="J545" s="0">
        <v>2780</v>
      </c>
    </row>
    <row r="546">
      <c r="A546" s="0" t="s">
        <v>28</v>
      </c>
      <c r="B546" s="0" t="s">
        <v>30</v>
      </c>
      <c r="C546" s="0" t="s">
        <v>188</v>
      </c>
      <c r="D546" s="0" t="s">
        <v>302</v>
      </c>
      <c r="E546" s="0" t="s">
        <v>154</v>
      </c>
      <c r="F546" s="0" t="s">
        <v>603</v>
      </c>
      <c r="G546" s="0" t="s">
        <v>828</v>
      </c>
      <c r="H546" s="0">
        <v>12</v>
      </c>
      <c r="I546" s="0">
        <v>53</v>
      </c>
      <c r="J546" s="0">
        <v>2780</v>
      </c>
    </row>
    <row r="547">
      <c r="A547" s="0" t="s">
        <v>28</v>
      </c>
      <c r="B547" s="0" t="s">
        <v>30</v>
      </c>
      <c r="C547" s="0" t="s">
        <v>188</v>
      </c>
      <c r="D547" s="0" t="s">
        <v>302</v>
      </c>
      <c r="E547" s="0" t="s">
        <v>154</v>
      </c>
      <c r="F547" s="0" t="s">
        <v>605</v>
      </c>
      <c r="G547" s="0" t="s">
        <v>114</v>
      </c>
      <c r="H547" s="0">
        <v>12</v>
      </c>
      <c r="I547" s="0">
        <v>53</v>
      </c>
      <c r="J547" s="0">
        <v>2780</v>
      </c>
    </row>
    <row r="548">
      <c r="A548" s="0" t="s">
        <v>28</v>
      </c>
      <c r="B548" s="0" t="s">
        <v>30</v>
      </c>
      <c r="C548" s="0" t="s">
        <v>188</v>
      </c>
      <c r="D548" s="0" t="s">
        <v>302</v>
      </c>
      <c r="E548" s="0" t="s">
        <v>154</v>
      </c>
      <c r="F548" s="0" t="s">
        <v>606</v>
      </c>
      <c r="G548" s="0" t="s">
        <v>607</v>
      </c>
      <c r="H548" s="0">
        <v>12</v>
      </c>
      <c r="I548" s="0">
        <v>53</v>
      </c>
      <c r="J548" s="0">
        <v>2780</v>
      </c>
    </row>
    <row r="549">
      <c r="A549" s="0" t="s">
        <v>28</v>
      </c>
      <c r="B549" s="0" t="s">
        <v>30</v>
      </c>
      <c r="C549" s="0" t="s">
        <v>188</v>
      </c>
      <c r="D549" s="0" t="s">
        <v>302</v>
      </c>
      <c r="E549" s="0" t="s">
        <v>154</v>
      </c>
      <c r="F549" s="0" t="s">
        <v>608</v>
      </c>
      <c r="G549" s="0" t="s">
        <v>829</v>
      </c>
      <c r="H549" s="0">
        <v>12</v>
      </c>
      <c r="I549" s="0">
        <v>53</v>
      </c>
      <c r="J549" s="0">
        <v>2780</v>
      </c>
    </row>
    <row r="550">
      <c r="A550" s="0" t="s">
        <v>28</v>
      </c>
      <c r="B550" s="0" t="s">
        <v>30</v>
      </c>
      <c r="C550" s="0" t="s">
        <v>188</v>
      </c>
      <c r="D550" s="0" t="s">
        <v>302</v>
      </c>
      <c r="E550" s="0" t="s">
        <v>154</v>
      </c>
      <c r="F550" s="0" t="s">
        <v>609</v>
      </c>
      <c r="G550" s="0" t="s">
        <v>341</v>
      </c>
      <c r="H550" s="0">
        <v>12</v>
      </c>
      <c r="I550" s="0">
        <v>53</v>
      </c>
      <c r="J550" s="0">
        <v>2780</v>
      </c>
    </row>
    <row r="551">
      <c r="A551" s="0" t="s">
        <v>28</v>
      </c>
      <c r="B551" s="0" t="s">
        <v>30</v>
      </c>
      <c r="C551" s="0" t="s">
        <v>188</v>
      </c>
      <c r="D551" s="0" t="s">
        <v>302</v>
      </c>
      <c r="E551" s="0" t="s">
        <v>154</v>
      </c>
      <c r="F551" s="0" t="s">
        <v>610</v>
      </c>
      <c r="G551" s="0" t="s">
        <v>830</v>
      </c>
      <c r="H551" s="0">
        <v>12</v>
      </c>
      <c r="I551" s="0">
        <v>53</v>
      </c>
      <c r="J551" s="0">
        <v>2780</v>
      </c>
    </row>
    <row r="552">
      <c r="A552" s="0" t="s">
        <v>28</v>
      </c>
      <c r="B552" s="0" t="s">
        <v>30</v>
      </c>
      <c r="C552" s="0" t="s">
        <v>188</v>
      </c>
      <c r="D552" s="0" t="s">
        <v>302</v>
      </c>
      <c r="E552" s="0" t="s">
        <v>154</v>
      </c>
      <c r="F552" s="0" t="s">
        <v>612</v>
      </c>
      <c r="G552" s="0" t="s">
        <v>863</v>
      </c>
      <c r="H552" s="0">
        <v>12</v>
      </c>
      <c r="I552" s="0">
        <v>53</v>
      </c>
      <c r="J552" s="0">
        <v>2780</v>
      </c>
    </row>
    <row r="553">
      <c r="A553" s="0" t="s">
        <v>28</v>
      </c>
      <c r="B553" s="0" t="s">
        <v>30</v>
      </c>
      <c r="C553" s="0" t="s">
        <v>188</v>
      </c>
      <c r="D553" s="0" t="s">
        <v>302</v>
      </c>
      <c r="E553" s="0" t="s">
        <v>154</v>
      </c>
      <c r="F553" s="0" t="s">
        <v>614</v>
      </c>
      <c r="G553" s="0" t="s">
        <v>864</v>
      </c>
      <c r="H553" s="0">
        <v>12</v>
      </c>
      <c r="I553" s="0">
        <v>53</v>
      </c>
      <c r="J553" s="0">
        <v>2780</v>
      </c>
    </row>
    <row r="554">
      <c r="A554" s="0" t="s">
        <v>28</v>
      </c>
      <c r="B554" s="0" t="s">
        <v>30</v>
      </c>
      <c r="C554" s="0" t="s">
        <v>188</v>
      </c>
      <c r="D554" s="0" t="s">
        <v>302</v>
      </c>
      <c r="E554" s="0" t="s">
        <v>154</v>
      </c>
      <c r="F554" s="0" t="s">
        <v>616</v>
      </c>
      <c r="G554" s="0" t="s">
        <v>833</v>
      </c>
      <c r="H554" s="0">
        <v>12</v>
      </c>
      <c r="I554" s="0">
        <v>53</v>
      </c>
      <c r="J554" s="0">
        <v>2780</v>
      </c>
    </row>
    <row r="555">
      <c r="A555" s="0" t="s">
        <v>28</v>
      </c>
      <c r="B555" s="0" t="s">
        <v>30</v>
      </c>
      <c r="C555" s="0" t="s">
        <v>188</v>
      </c>
      <c r="D555" s="0" t="s">
        <v>302</v>
      </c>
      <c r="E555" s="0" t="s">
        <v>154</v>
      </c>
      <c r="F555" s="0" t="s">
        <v>618</v>
      </c>
      <c r="G555" s="0" t="s">
        <v>602</v>
      </c>
      <c r="H555" s="0">
        <v>12</v>
      </c>
      <c r="I555" s="0">
        <v>53</v>
      </c>
      <c r="J555" s="0">
        <v>2780</v>
      </c>
    </row>
    <row r="556">
      <c r="A556" s="0" t="s">
        <v>28</v>
      </c>
      <c r="B556" s="0" t="s">
        <v>30</v>
      </c>
      <c r="C556" s="0" t="s">
        <v>188</v>
      </c>
      <c r="D556" s="0" t="s">
        <v>302</v>
      </c>
      <c r="E556" s="0" t="s">
        <v>154</v>
      </c>
      <c r="F556" s="0" t="s">
        <v>619</v>
      </c>
      <c r="G556" s="0" t="s">
        <v>559</v>
      </c>
      <c r="H556" s="0">
        <v>12</v>
      </c>
      <c r="I556" s="0">
        <v>53</v>
      </c>
      <c r="J556" s="0">
        <v>2780</v>
      </c>
    </row>
    <row r="557">
      <c r="A557" s="0" t="s">
        <v>28</v>
      </c>
      <c r="B557" s="0" t="s">
        <v>30</v>
      </c>
      <c r="C557" s="0" t="s">
        <v>188</v>
      </c>
      <c r="D557" s="0" t="s">
        <v>302</v>
      </c>
      <c r="E557" s="0" t="s">
        <v>154</v>
      </c>
      <c r="F557" s="0" t="s">
        <v>620</v>
      </c>
      <c r="G557" s="0" t="s">
        <v>114</v>
      </c>
      <c r="H557" s="0">
        <v>12</v>
      </c>
      <c r="I557" s="0">
        <v>53</v>
      </c>
      <c r="J557" s="0">
        <v>2780</v>
      </c>
    </row>
    <row r="558">
      <c r="A558" s="0" t="s">
        <v>28</v>
      </c>
      <c r="B558" s="0" t="s">
        <v>30</v>
      </c>
      <c r="C558" s="0" t="s">
        <v>188</v>
      </c>
      <c r="D558" s="0" t="s">
        <v>302</v>
      </c>
      <c r="E558" s="0" t="s">
        <v>154</v>
      </c>
      <c r="F558" s="0" t="s">
        <v>621</v>
      </c>
      <c r="G558" s="0" t="s">
        <v>834</v>
      </c>
      <c r="H558" s="0">
        <v>12</v>
      </c>
      <c r="I558" s="0">
        <v>53</v>
      </c>
      <c r="J558" s="0">
        <v>2780</v>
      </c>
    </row>
    <row r="559">
      <c r="A559" s="0" t="s">
        <v>28</v>
      </c>
      <c r="B559" s="0" t="s">
        <v>30</v>
      </c>
      <c r="C559" s="0" t="s">
        <v>188</v>
      </c>
      <c r="D559" s="0" t="s">
        <v>302</v>
      </c>
      <c r="E559" s="0" t="s">
        <v>154</v>
      </c>
      <c r="F559" s="0" t="s">
        <v>623</v>
      </c>
      <c r="G559" s="0" t="s">
        <v>835</v>
      </c>
      <c r="H559" s="0">
        <v>12</v>
      </c>
      <c r="I559" s="0">
        <v>53</v>
      </c>
      <c r="J559" s="0">
        <v>2780</v>
      </c>
    </row>
    <row r="560">
      <c r="A560" s="0" t="s">
        <v>28</v>
      </c>
      <c r="B560" s="0" t="s">
        <v>30</v>
      </c>
      <c r="C560" s="0" t="s">
        <v>188</v>
      </c>
      <c r="D560" s="0" t="s">
        <v>302</v>
      </c>
      <c r="E560" s="0" t="s">
        <v>154</v>
      </c>
      <c r="F560" s="0" t="s">
        <v>625</v>
      </c>
      <c r="G560" s="0" t="s">
        <v>836</v>
      </c>
      <c r="H560" s="0">
        <v>12</v>
      </c>
      <c r="I560" s="0">
        <v>53</v>
      </c>
      <c r="J560" s="0">
        <v>2780</v>
      </c>
    </row>
    <row r="561">
      <c r="A561" s="0" t="s">
        <v>28</v>
      </c>
      <c r="B561" s="0" t="s">
        <v>30</v>
      </c>
      <c r="C561" s="0" t="s">
        <v>188</v>
      </c>
      <c r="D561" s="0" t="s">
        <v>302</v>
      </c>
      <c r="E561" s="0" t="s">
        <v>154</v>
      </c>
      <c r="F561" s="0" t="s">
        <v>627</v>
      </c>
      <c r="G561" s="0" t="s">
        <v>628</v>
      </c>
      <c r="H561" s="0">
        <v>12</v>
      </c>
      <c r="I561" s="0">
        <v>53</v>
      </c>
      <c r="J561" s="0">
        <v>2780</v>
      </c>
    </row>
    <row r="562">
      <c r="A562" s="0" t="s">
        <v>28</v>
      </c>
      <c r="B562" s="0" t="s">
        <v>30</v>
      </c>
      <c r="C562" s="0" t="s">
        <v>188</v>
      </c>
      <c r="D562" s="0" t="s">
        <v>302</v>
      </c>
      <c r="E562" s="0" t="s">
        <v>154</v>
      </c>
      <c r="F562" s="0" t="s">
        <v>629</v>
      </c>
      <c r="G562" s="0" t="s">
        <v>630</v>
      </c>
      <c r="H562" s="0">
        <v>12</v>
      </c>
      <c r="I562" s="0">
        <v>53</v>
      </c>
      <c r="J562" s="0">
        <v>2780</v>
      </c>
    </row>
    <row r="563">
      <c r="A563" s="0" t="s">
        <v>28</v>
      </c>
      <c r="B563" s="0" t="s">
        <v>30</v>
      </c>
      <c r="C563" s="0" t="s">
        <v>188</v>
      </c>
      <c r="D563" s="0" t="s">
        <v>302</v>
      </c>
      <c r="E563" s="0" t="s">
        <v>154</v>
      </c>
      <c r="F563" s="0" t="s">
        <v>631</v>
      </c>
      <c r="G563" s="0" t="s">
        <v>556</v>
      </c>
      <c r="H563" s="0">
        <v>12</v>
      </c>
      <c r="I563" s="0">
        <v>53</v>
      </c>
      <c r="J563" s="0">
        <v>2780</v>
      </c>
    </row>
    <row r="564">
      <c r="A564" s="0" t="s">
        <v>28</v>
      </c>
      <c r="B564" s="0" t="s">
        <v>30</v>
      </c>
      <c r="C564" s="0" t="s">
        <v>188</v>
      </c>
      <c r="D564" s="0" t="s">
        <v>302</v>
      </c>
      <c r="E564" s="0" t="s">
        <v>154</v>
      </c>
      <c r="F564" s="0" t="s">
        <v>632</v>
      </c>
      <c r="G564" s="0" t="s">
        <v>298</v>
      </c>
      <c r="H564" s="0">
        <v>12</v>
      </c>
      <c r="I564" s="0">
        <v>53</v>
      </c>
      <c r="J564" s="0">
        <v>2780</v>
      </c>
    </row>
    <row r="565">
      <c r="A565" s="0" t="s">
        <v>28</v>
      </c>
      <c r="B565" s="0" t="s">
        <v>30</v>
      </c>
      <c r="C565" s="0" t="s">
        <v>188</v>
      </c>
      <c r="D565" s="0" t="s">
        <v>302</v>
      </c>
      <c r="E565" s="0" t="s">
        <v>154</v>
      </c>
      <c r="F565" s="0" t="s">
        <v>633</v>
      </c>
      <c r="G565" s="0" t="s">
        <v>634</v>
      </c>
      <c r="H565" s="0">
        <v>12</v>
      </c>
      <c r="I565" s="0">
        <v>53</v>
      </c>
      <c r="J565" s="0">
        <v>2780</v>
      </c>
    </row>
    <row r="566">
      <c r="A566" s="0" t="s">
        <v>28</v>
      </c>
      <c r="B566" s="0" t="s">
        <v>30</v>
      </c>
      <c r="C566" s="0" t="s">
        <v>188</v>
      </c>
      <c r="D566" s="0" t="s">
        <v>302</v>
      </c>
      <c r="E566" s="0" t="s">
        <v>154</v>
      </c>
      <c r="F566" s="0" t="s">
        <v>635</v>
      </c>
      <c r="G566" s="0" t="s">
        <v>634</v>
      </c>
      <c r="H566" s="0">
        <v>12</v>
      </c>
      <c r="I566" s="0">
        <v>53</v>
      </c>
      <c r="J566" s="0">
        <v>2780</v>
      </c>
    </row>
    <row r="567">
      <c r="A567" s="0" t="s">
        <v>28</v>
      </c>
      <c r="B567" s="0" t="s">
        <v>30</v>
      </c>
      <c r="C567" s="0" t="s">
        <v>188</v>
      </c>
      <c r="D567" s="0" t="s">
        <v>302</v>
      </c>
      <c r="E567" s="0" t="s">
        <v>154</v>
      </c>
      <c r="F567" s="0" t="s">
        <v>636</v>
      </c>
      <c r="G567" s="0" t="s">
        <v>114</v>
      </c>
      <c r="H567" s="0">
        <v>12</v>
      </c>
      <c r="I567" s="0">
        <v>53</v>
      </c>
      <c r="J567" s="0">
        <v>2780</v>
      </c>
    </row>
    <row r="568">
      <c r="A568" s="0" t="s">
        <v>28</v>
      </c>
      <c r="B568" s="0" t="s">
        <v>30</v>
      </c>
      <c r="C568" s="0" t="s">
        <v>188</v>
      </c>
      <c r="D568" s="0" t="s">
        <v>302</v>
      </c>
      <c r="E568" s="0" t="s">
        <v>154</v>
      </c>
      <c r="F568" s="0" t="s">
        <v>637</v>
      </c>
      <c r="G568" s="0" t="s">
        <v>607</v>
      </c>
      <c r="H568" s="0">
        <v>12</v>
      </c>
      <c r="I568" s="0">
        <v>53</v>
      </c>
      <c r="J568" s="0">
        <v>2780</v>
      </c>
    </row>
    <row r="569">
      <c r="A569" s="0" t="s">
        <v>28</v>
      </c>
      <c r="B569" s="0" t="s">
        <v>30</v>
      </c>
      <c r="C569" s="0" t="s">
        <v>188</v>
      </c>
      <c r="D569" s="0" t="s">
        <v>302</v>
      </c>
      <c r="E569" s="0" t="s">
        <v>154</v>
      </c>
      <c r="F569" s="0" t="s">
        <v>638</v>
      </c>
      <c r="G569" s="0" t="s">
        <v>865</v>
      </c>
      <c r="H569" s="0">
        <v>12</v>
      </c>
      <c r="I569" s="0">
        <v>53</v>
      </c>
      <c r="J569" s="0">
        <v>2780</v>
      </c>
    </row>
    <row r="570">
      <c r="A570" s="0" t="s">
        <v>28</v>
      </c>
      <c r="B570" s="0" t="s">
        <v>30</v>
      </c>
      <c r="C570" s="0" t="s">
        <v>188</v>
      </c>
      <c r="D570" s="0" t="s">
        <v>302</v>
      </c>
      <c r="E570" s="0" t="s">
        <v>154</v>
      </c>
      <c r="F570" s="0" t="s">
        <v>640</v>
      </c>
      <c r="G570" s="0" t="s">
        <v>114</v>
      </c>
      <c r="H570" s="0">
        <v>12</v>
      </c>
      <c r="I570" s="0">
        <v>53</v>
      </c>
      <c r="J570" s="0">
        <v>2780</v>
      </c>
    </row>
    <row r="571">
      <c r="A571" s="0" t="s">
        <v>28</v>
      </c>
      <c r="B571" s="0" t="s">
        <v>30</v>
      </c>
      <c r="C571" s="0" t="s">
        <v>188</v>
      </c>
      <c r="D571" s="0" t="s">
        <v>302</v>
      </c>
      <c r="E571" s="0" t="s">
        <v>154</v>
      </c>
      <c r="F571" s="0" t="s">
        <v>641</v>
      </c>
      <c r="G571" s="0" t="s">
        <v>866</v>
      </c>
      <c r="H571" s="0">
        <v>12</v>
      </c>
      <c r="I571" s="0">
        <v>53</v>
      </c>
      <c r="J571" s="0">
        <v>2780</v>
      </c>
    </row>
    <row r="572">
      <c r="A572" s="0" t="s">
        <v>28</v>
      </c>
      <c r="B572" s="0" t="s">
        <v>30</v>
      </c>
      <c r="C572" s="0" t="s">
        <v>188</v>
      </c>
      <c r="D572" s="0" t="s">
        <v>302</v>
      </c>
      <c r="E572" s="0" t="s">
        <v>154</v>
      </c>
      <c r="F572" s="0" t="s">
        <v>643</v>
      </c>
      <c r="G572" s="0" t="s">
        <v>114</v>
      </c>
      <c r="H572" s="0">
        <v>12</v>
      </c>
      <c r="I572" s="0">
        <v>53</v>
      </c>
      <c r="J572" s="0">
        <v>2780</v>
      </c>
    </row>
    <row r="573">
      <c r="A573" s="0" t="s">
        <v>28</v>
      </c>
      <c r="B573" s="0" t="s">
        <v>30</v>
      </c>
      <c r="C573" s="0" t="s">
        <v>188</v>
      </c>
      <c r="D573" s="0" t="s">
        <v>302</v>
      </c>
      <c r="E573" s="0" t="s">
        <v>154</v>
      </c>
      <c r="F573" s="0" t="s">
        <v>644</v>
      </c>
      <c r="G573" s="0" t="s">
        <v>341</v>
      </c>
      <c r="H573" s="0">
        <v>12</v>
      </c>
      <c r="I573" s="0">
        <v>53</v>
      </c>
      <c r="J573" s="0">
        <v>2780</v>
      </c>
    </row>
    <row r="574">
      <c r="A574" s="0" t="s">
        <v>28</v>
      </c>
      <c r="B574" s="0" t="s">
        <v>30</v>
      </c>
      <c r="C574" s="0" t="s">
        <v>188</v>
      </c>
      <c r="D574" s="0" t="s">
        <v>302</v>
      </c>
      <c r="E574" s="0" t="s">
        <v>154</v>
      </c>
      <c r="F574" s="0" t="s">
        <v>645</v>
      </c>
      <c r="G574" s="0" t="s">
        <v>646</v>
      </c>
      <c r="H574" s="0">
        <v>12</v>
      </c>
      <c r="I574" s="0">
        <v>53</v>
      </c>
      <c r="J574" s="0">
        <v>2780</v>
      </c>
    </row>
    <row r="575">
      <c r="A575" s="0" t="s">
        <v>28</v>
      </c>
      <c r="B575" s="0" t="s">
        <v>30</v>
      </c>
      <c r="C575" s="0" t="s">
        <v>188</v>
      </c>
      <c r="D575" s="0" t="s">
        <v>302</v>
      </c>
      <c r="E575" s="0" t="s">
        <v>154</v>
      </c>
      <c r="F575" s="0" t="s">
        <v>647</v>
      </c>
      <c r="G575" s="0" t="s">
        <v>648</v>
      </c>
      <c r="H575" s="0">
        <v>12</v>
      </c>
      <c r="I575" s="0">
        <v>53</v>
      </c>
      <c r="J575" s="0">
        <v>2780</v>
      </c>
    </row>
    <row r="576">
      <c r="A576" s="0" t="s">
        <v>28</v>
      </c>
      <c r="B576" s="0" t="s">
        <v>30</v>
      </c>
      <c r="C576" s="0" t="s">
        <v>188</v>
      </c>
      <c r="D576" s="0" t="s">
        <v>302</v>
      </c>
      <c r="E576" s="0" t="s">
        <v>154</v>
      </c>
      <c r="F576" s="0" t="s">
        <v>649</v>
      </c>
      <c r="G576" s="0" t="s">
        <v>269</v>
      </c>
      <c r="H576" s="0">
        <v>12</v>
      </c>
      <c r="I576" s="0">
        <v>53</v>
      </c>
      <c r="J576" s="0">
        <v>2780</v>
      </c>
    </row>
    <row r="577">
      <c r="A577" s="0" t="s">
        <v>28</v>
      </c>
      <c r="B577" s="0" t="s">
        <v>30</v>
      </c>
      <c r="C577" s="0" t="s">
        <v>188</v>
      </c>
      <c r="D577" s="0" t="s">
        <v>302</v>
      </c>
      <c r="E577" s="0" t="s">
        <v>154</v>
      </c>
      <c r="F577" s="0" t="s">
        <v>650</v>
      </c>
      <c r="G577" s="0" t="s">
        <v>651</v>
      </c>
      <c r="H577" s="0">
        <v>12</v>
      </c>
      <c r="I577" s="0">
        <v>53</v>
      </c>
      <c r="J577" s="0">
        <v>2780</v>
      </c>
    </row>
    <row r="578">
      <c r="A578" s="0" t="s">
        <v>28</v>
      </c>
      <c r="B578" s="0" t="s">
        <v>30</v>
      </c>
      <c r="C578" s="0" t="s">
        <v>188</v>
      </c>
      <c r="D578" s="0" t="s">
        <v>302</v>
      </c>
      <c r="E578" s="0" t="s">
        <v>154</v>
      </c>
      <c r="F578" s="0" t="s">
        <v>652</v>
      </c>
      <c r="G578" s="0" t="s">
        <v>842</v>
      </c>
      <c r="H578" s="0">
        <v>12</v>
      </c>
      <c r="I578" s="0">
        <v>53</v>
      </c>
      <c r="J578" s="0">
        <v>2780</v>
      </c>
    </row>
    <row r="579">
      <c r="A579" s="0" t="s">
        <v>28</v>
      </c>
      <c r="B579" s="0" t="s">
        <v>30</v>
      </c>
      <c r="C579" s="0" t="s">
        <v>188</v>
      </c>
      <c r="D579" s="0" t="s">
        <v>302</v>
      </c>
      <c r="E579" s="0" t="s">
        <v>154</v>
      </c>
      <c r="F579" s="0" t="s">
        <v>654</v>
      </c>
      <c r="G579" s="0" t="s">
        <v>655</v>
      </c>
      <c r="H579" s="0">
        <v>12</v>
      </c>
      <c r="I579" s="0">
        <v>53</v>
      </c>
      <c r="J579" s="0">
        <v>2780</v>
      </c>
    </row>
    <row r="580">
      <c r="A580" s="0" t="s">
        <v>28</v>
      </c>
      <c r="B580" s="0" t="s">
        <v>30</v>
      </c>
      <c r="C580" s="0" t="s">
        <v>188</v>
      </c>
      <c r="D580" s="0" t="s">
        <v>302</v>
      </c>
      <c r="E580" s="0" t="s">
        <v>154</v>
      </c>
      <c r="F580" s="0" t="s">
        <v>656</v>
      </c>
      <c r="G580" s="0" t="s">
        <v>602</v>
      </c>
      <c r="H580" s="0">
        <v>12</v>
      </c>
      <c r="I580" s="0">
        <v>53</v>
      </c>
      <c r="J580" s="0">
        <v>2780</v>
      </c>
    </row>
    <row r="581">
      <c r="A581" s="0" t="s">
        <v>28</v>
      </c>
      <c r="B581" s="0" t="s">
        <v>30</v>
      </c>
      <c r="C581" s="0" t="s">
        <v>188</v>
      </c>
      <c r="D581" s="0" t="s">
        <v>302</v>
      </c>
      <c r="E581" s="0" t="s">
        <v>154</v>
      </c>
      <c r="F581" s="0" t="s">
        <v>657</v>
      </c>
      <c r="G581" s="0" t="s">
        <v>300</v>
      </c>
      <c r="H581" s="0">
        <v>12</v>
      </c>
      <c r="I581" s="0">
        <v>53</v>
      </c>
      <c r="J581" s="0">
        <v>2780</v>
      </c>
    </row>
    <row r="582">
      <c r="A582" s="0" t="s">
        <v>28</v>
      </c>
      <c r="B582" s="0" t="s">
        <v>30</v>
      </c>
      <c r="C582" s="0" t="s">
        <v>188</v>
      </c>
      <c r="D582" s="0" t="s">
        <v>302</v>
      </c>
      <c r="E582" s="0" t="s">
        <v>154</v>
      </c>
      <c r="F582" s="0" t="s">
        <v>658</v>
      </c>
      <c r="G582" s="0" t="s">
        <v>559</v>
      </c>
      <c r="H582" s="0">
        <v>12</v>
      </c>
      <c r="I582" s="0">
        <v>53</v>
      </c>
      <c r="J582" s="0">
        <v>2780</v>
      </c>
    </row>
    <row r="583">
      <c r="A583" s="0" t="s">
        <v>28</v>
      </c>
      <c r="B583" s="0" t="s">
        <v>30</v>
      </c>
      <c r="C583" s="0" t="s">
        <v>188</v>
      </c>
      <c r="D583" s="0" t="s">
        <v>302</v>
      </c>
      <c r="E583" s="0" t="s">
        <v>154</v>
      </c>
      <c r="F583" s="0" t="s">
        <v>843</v>
      </c>
      <c r="G583" s="0" t="s">
        <v>844</v>
      </c>
      <c r="H583" s="0">
        <v>12</v>
      </c>
      <c r="I583" s="0">
        <v>53</v>
      </c>
      <c r="J583" s="0">
        <v>2780</v>
      </c>
    </row>
    <row r="584">
      <c r="A584" s="0" t="s">
        <v>28</v>
      </c>
      <c r="B584" s="0" t="s">
        <v>30</v>
      </c>
      <c r="C584" s="0" t="s">
        <v>188</v>
      </c>
      <c r="D584" s="0" t="s">
        <v>302</v>
      </c>
      <c r="E584" s="0" t="s">
        <v>154</v>
      </c>
      <c r="F584" s="0" t="s">
        <v>659</v>
      </c>
      <c r="G584" s="0" t="s">
        <v>845</v>
      </c>
      <c r="H584" s="0">
        <v>12</v>
      </c>
      <c r="I584" s="0">
        <v>53</v>
      </c>
      <c r="J584" s="0">
        <v>2780</v>
      </c>
    </row>
    <row r="585">
      <c r="A585" s="0" t="s">
        <v>28</v>
      </c>
      <c r="B585" s="0" t="s">
        <v>30</v>
      </c>
      <c r="C585" s="0" t="s">
        <v>188</v>
      </c>
      <c r="D585" s="0" t="s">
        <v>302</v>
      </c>
      <c r="E585" s="0" t="s">
        <v>154</v>
      </c>
      <c r="F585" s="0" t="s">
        <v>661</v>
      </c>
      <c r="G585" s="0" t="s">
        <v>867</v>
      </c>
      <c r="H585" s="0">
        <v>12</v>
      </c>
      <c r="I585" s="0">
        <v>53</v>
      </c>
      <c r="J585" s="0">
        <v>2780</v>
      </c>
    </row>
    <row r="586">
      <c r="A586" s="0" t="s">
        <v>28</v>
      </c>
      <c r="B586" s="0" t="s">
        <v>30</v>
      </c>
      <c r="C586" s="0" t="s">
        <v>188</v>
      </c>
      <c r="D586" s="0" t="s">
        <v>302</v>
      </c>
      <c r="E586" s="0" t="s">
        <v>154</v>
      </c>
      <c r="F586" s="0" t="s">
        <v>663</v>
      </c>
      <c r="G586" s="0" t="s">
        <v>114</v>
      </c>
      <c r="H586" s="0">
        <v>12</v>
      </c>
      <c r="I586" s="0">
        <v>53</v>
      </c>
      <c r="J586" s="0">
        <v>2780</v>
      </c>
    </row>
    <row r="587">
      <c r="A587" s="0" t="s">
        <v>28</v>
      </c>
      <c r="B587" s="0" t="s">
        <v>30</v>
      </c>
      <c r="C587" s="0" t="s">
        <v>188</v>
      </c>
      <c r="D587" s="0" t="s">
        <v>302</v>
      </c>
      <c r="E587" s="0" t="s">
        <v>154</v>
      </c>
      <c r="F587" s="0" t="s">
        <v>664</v>
      </c>
      <c r="G587" s="0" t="s">
        <v>846</v>
      </c>
      <c r="H587" s="0">
        <v>12</v>
      </c>
      <c r="I587" s="0">
        <v>53</v>
      </c>
      <c r="J587" s="0">
        <v>2780</v>
      </c>
    </row>
    <row r="588">
      <c r="A588" s="0" t="s">
        <v>28</v>
      </c>
      <c r="B588" s="0" t="s">
        <v>30</v>
      </c>
      <c r="C588" s="0" t="s">
        <v>188</v>
      </c>
      <c r="D588" s="0" t="s">
        <v>302</v>
      </c>
      <c r="E588" s="0" t="s">
        <v>154</v>
      </c>
      <c r="F588" s="0" t="s">
        <v>666</v>
      </c>
      <c r="G588" s="0" t="s">
        <v>823</v>
      </c>
      <c r="H588" s="0">
        <v>12</v>
      </c>
      <c r="I588" s="0">
        <v>53</v>
      </c>
      <c r="J588" s="0">
        <v>2780</v>
      </c>
    </row>
    <row r="589">
      <c r="A589" s="0" t="s">
        <v>28</v>
      </c>
      <c r="B589" s="0" t="s">
        <v>30</v>
      </c>
      <c r="C589" s="0" t="s">
        <v>188</v>
      </c>
      <c r="D589" s="0" t="s">
        <v>302</v>
      </c>
      <c r="E589" s="0" t="s">
        <v>154</v>
      </c>
      <c r="F589" s="0" t="s">
        <v>667</v>
      </c>
      <c r="G589" s="0" t="s">
        <v>847</v>
      </c>
      <c r="H589" s="0">
        <v>12</v>
      </c>
      <c r="I589" s="0">
        <v>53</v>
      </c>
      <c r="J589" s="0">
        <v>2780</v>
      </c>
    </row>
    <row r="590">
      <c r="A590" s="0" t="s">
        <v>28</v>
      </c>
      <c r="B590" s="0" t="s">
        <v>30</v>
      </c>
      <c r="C590" s="0" t="s">
        <v>188</v>
      </c>
      <c r="D590" s="0" t="s">
        <v>302</v>
      </c>
      <c r="E590" s="0" t="s">
        <v>154</v>
      </c>
      <c r="F590" s="0" t="s">
        <v>669</v>
      </c>
      <c r="G590" s="0" t="s">
        <v>559</v>
      </c>
      <c r="H590" s="0">
        <v>12</v>
      </c>
      <c r="I590" s="0">
        <v>53</v>
      </c>
      <c r="J590" s="0">
        <v>2780</v>
      </c>
    </row>
    <row r="591">
      <c r="A591" s="0" t="s">
        <v>28</v>
      </c>
      <c r="B591" s="0" t="s">
        <v>30</v>
      </c>
      <c r="C591" s="0" t="s">
        <v>188</v>
      </c>
      <c r="D591" s="0" t="s">
        <v>302</v>
      </c>
      <c r="E591" s="0" t="s">
        <v>154</v>
      </c>
      <c r="F591" s="0" t="s">
        <v>670</v>
      </c>
      <c r="G591" s="0" t="s">
        <v>868</v>
      </c>
      <c r="H591" s="0">
        <v>12</v>
      </c>
      <c r="I591" s="0">
        <v>53</v>
      </c>
      <c r="J591" s="0">
        <v>2780</v>
      </c>
    </row>
    <row r="592">
      <c r="A592" s="0" t="s">
        <v>28</v>
      </c>
      <c r="B592" s="0" t="s">
        <v>30</v>
      </c>
      <c r="C592" s="0" t="s">
        <v>188</v>
      </c>
      <c r="D592" s="0" t="s">
        <v>302</v>
      </c>
      <c r="E592" s="0" t="s">
        <v>154</v>
      </c>
      <c r="F592" s="0" t="s">
        <v>672</v>
      </c>
      <c r="G592" s="0" t="s">
        <v>498</v>
      </c>
      <c r="H592" s="0">
        <v>12</v>
      </c>
      <c r="I592" s="0">
        <v>53</v>
      </c>
      <c r="J592" s="0">
        <v>2780</v>
      </c>
    </row>
    <row r="593">
      <c r="A593" s="0" t="s">
        <v>28</v>
      </c>
      <c r="B593" s="0" t="s">
        <v>30</v>
      </c>
      <c r="C593" s="0" t="s">
        <v>188</v>
      </c>
      <c r="D593" s="0" t="s">
        <v>302</v>
      </c>
      <c r="E593" s="0" t="s">
        <v>154</v>
      </c>
      <c r="F593" s="0" t="s">
        <v>673</v>
      </c>
      <c r="G593" s="0" t="s">
        <v>829</v>
      </c>
      <c r="H593" s="0">
        <v>12</v>
      </c>
      <c r="I593" s="0">
        <v>53</v>
      </c>
      <c r="J593" s="0">
        <v>2780</v>
      </c>
    </row>
    <row r="594">
      <c r="A594" s="0" t="s">
        <v>28</v>
      </c>
      <c r="B594" s="0" t="s">
        <v>30</v>
      </c>
      <c r="C594" s="0" t="s">
        <v>188</v>
      </c>
      <c r="D594" s="0" t="s">
        <v>302</v>
      </c>
      <c r="E594" s="0" t="s">
        <v>154</v>
      </c>
      <c r="F594" s="0" t="s">
        <v>674</v>
      </c>
      <c r="G594" s="0" t="s">
        <v>341</v>
      </c>
      <c r="H594" s="0">
        <v>12</v>
      </c>
      <c r="I594" s="0">
        <v>53</v>
      </c>
      <c r="J594" s="0">
        <v>2780</v>
      </c>
    </row>
    <row r="595">
      <c r="A595" s="0" t="s">
        <v>28</v>
      </c>
      <c r="B595" s="0" t="s">
        <v>30</v>
      </c>
      <c r="C595" s="0" t="s">
        <v>188</v>
      </c>
      <c r="D595" s="0" t="s">
        <v>302</v>
      </c>
      <c r="E595" s="0" t="s">
        <v>154</v>
      </c>
      <c r="F595" s="0" t="s">
        <v>675</v>
      </c>
      <c r="G595" s="0" t="s">
        <v>849</v>
      </c>
      <c r="H595" s="0">
        <v>12</v>
      </c>
      <c r="I595" s="0">
        <v>53</v>
      </c>
      <c r="J595" s="0">
        <v>2780</v>
      </c>
    </row>
    <row r="596">
      <c r="A596" s="0" t="s">
        <v>28</v>
      </c>
      <c r="B596" s="0" t="s">
        <v>30</v>
      </c>
      <c r="C596" s="0" t="s">
        <v>188</v>
      </c>
      <c r="D596" s="0" t="s">
        <v>302</v>
      </c>
      <c r="E596" s="0" t="s">
        <v>154</v>
      </c>
      <c r="F596" s="0" t="s">
        <v>677</v>
      </c>
      <c r="G596" s="0" t="s">
        <v>559</v>
      </c>
      <c r="H596" s="0">
        <v>12</v>
      </c>
      <c r="I596" s="0">
        <v>53</v>
      </c>
      <c r="J596" s="0">
        <v>2780</v>
      </c>
    </row>
    <row r="597">
      <c r="A597" s="0" t="s">
        <v>28</v>
      </c>
      <c r="B597" s="0" t="s">
        <v>30</v>
      </c>
      <c r="C597" s="0" t="s">
        <v>188</v>
      </c>
      <c r="D597" s="0" t="s">
        <v>302</v>
      </c>
      <c r="E597" s="0" t="s">
        <v>154</v>
      </c>
      <c r="F597" s="0" t="s">
        <v>678</v>
      </c>
      <c r="G597" s="0" t="s">
        <v>850</v>
      </c>
      <c r="H597" s="0">
        <v>12</v>
      </c>
      <c r="I597" s="0">
        <v>53</v>
      </c>
      <c r="J597" s="0">
        <v>2780</v>
      </c>
    </row>
    <row r="598">
      <c r="A598" s="0" t="s">
        <v>28</v>
      </c>
      <c r="B598" s="0" t="s">
        <v>30</v>
      </c>
      <c r="C598" s="0" t="s">
        <v>188</v>
      </c>
      <c r="D598" s="0" t="s">
        <v>302</v>
      </c>
      <c r="E598" s="0" t="s">
        <v>154</v>
      </c>
      <c r="F598" s="0" t="s">
        <v>680</v>
      </c>
      <c r="G598" s="0" t="s">
        <v>851</v>
      </c>
      <c r="H598" s="0">
        <v>12</v>
      </c>
      <c r="I598" s="0">
        <v>53</v>
      </c>
      <c r="J598" s="0">
        <v>2780</v>
      </c>
    </row>
    <row r="599">
      <c r="A599" s="0" t="s">
        <v>28</v>
      </c>
      <c r="B599" s="0" t="s">
        <v>30</v>
      </c>
      <c r="C599" s="0" t="s">
        <v>188</v>
      </c>
      <c r="D599" s="0" t="s">
        <v>302</v>
      </c>
      <c r="E599" s="0" t="s">
        <v>154</v>
      </c>
      <c r="F599" s="0" t="s">
        <v>682</v>
      </c>
      <c r="G599" s="0" t="s">
        <v>554</v>
      </c>
      <c r="H599" s="0">
        <v>12</v>
      </c>
      <c r="I599" s="0">
        <v>53</v>
      </c>
      <c r="J599" s="0">
        <v>2780</v>
      </c>
    </row>
    <row r="600">
      <c r="A600" s="0" t="s">
        <v>28</v>
      </c>
      <c r="B600" s="0" t="s">
        <v>30</v>
      </c>
      <c r="C600" s="0" t="s">
        <v>188</v>
      </c>
      <c r="D600" s="0" t="s">
        <v>302</v>
      </c>
      <c r="E600" s="0" t="s">
        <v>154</v>
      </c>
      <c r="F600" s="0" t="s">
        <v>683</v>
      </c>
      <c r="G600" s="0" t="s">
        <v>382</v>
      </c>
      <c r="H600" s="0">
        <v>12</v>
      </c>
      <c r="I600" s="0">
        <v>53</v>
      </c>
      <c r="J600" s="0">
        <v>2780</v>
      </c>
    </row>
    <row r="601">
      <c r="A601" s="0" t="s">
        <v>28</v>
      </c>
      <c r="B601" s="0" t="s">
        <v>30</v>
      </c>
      <c r="C601" s="0" t="s">
        <v>188</v>
      </c>
      <c r="D601" s="0" t="s">
        <v>302</v>
      </c>
      <c r="E601" s="0" t="s">
        <v>154</v>
      </c>
      <c r="F601" s="0" t="s">
        <v>685</v>
      </c>
      <c r="G601" s="0" t="s">
        <v>686</v>
      </c>
      <c r="H601" s="0">
        <v>12</v>
      </c>
      <c r="I601" s="0">
        <v>53</v>
      </c>
      <c r="J601" s="0">
        <v>2780</v>
      </c>
    </row>
    <row r="602">
      <c r="A602" s="0" t="s">
        <v>28</v>
      </c>
      <c r="B602" s="0" t="s">
        <v>30</v>
      </c>
      <c r="C602" s="0" t="s">
        <v>188</v>
      </c>
      <c r="D602" s="0" t="s">
        <v>302</v>
      </c>
      <c r="E602" s="0" t="s">
        <v>154</v>
      </c>
      <c r="F602" s="0" t="s">
        <v>687</v>
      </c>
      <c r="G602" s="0" t="s">
        <v>688</v>
      </c>
      <c r="H602" s="0">
        <v>12</v>
      </c>
      <c r="I602" s="0">
        <v>53</v>
      </c>
      <c r="J602" s="0">
        <v>2780</v>
      </c>
    </row>
    <row r="603">
      <c r="A603" s="0" t="s">
        <v>28</v>
      </c>
      <c r="B603" s="0" t="s">
        <v>30</v>
      </c>
      <c r="C603" s="0" t="s">
        <v>188</v>
      </c>
      <c r="D603" s="0" t="s">
        <v>302</v>
      </c>
      <c r="E603" s="0" t="s">
        <v>154</v>
      </c>
      <c r="F603" s="0" t="s">
        <v>689</v>
      </c>
      <c r="G603" s="0" t="s">
        <v>341</v>
      </c>
      <c r="H603" s="0">
        <v>12</v>
      </c>
      <c r="I603" s="0">
        <v>53</v>
      </c>
      <c r="J603" s="0">
        <v>2780</v>
      </c>
    </row>
    <row r="604">
      <c r="A604" s="0" t="s">
        <v>28</v>
      </c>
      <c r="B604" s="0" t="s">
        <v>30</v>
      </c>
      <c r="C604" s="0" t="s">
        <v>188</v>
      </c>
      <c r="D604" s="0" t="s">
        <v>302</v>
      </c>
      <c r="E604" s="0" t="s">
        <v>154</v>
      </c>
      <c r="F604" s="0" t="s">
        <v>690</v>
      </c>
      <c r="G604" s="0" t="s">
        <v>607</v>
      </c>
      <c r="H604" s="0">
        <v>12</v>
      </c>
      <c r="I604" s="0">
        <v>53</v>
      </c>
      <c r="J604" s="0">
        <v>2780</v>
      </c>
    </row>
    <row r="605">
      <c r="A605" s="0" t="s">
        <v>28</v>
      </c>
      <c r="B605" s="0" t="s">
        <v>30</v>
      </c>
      <c r="C605" s="0" t="s">
        <v>188</v>
      </c>
      <c r="D605" s="0" t="s">
        <v>302</v>
      </c>
      <c r="E605" s="0" t="s">
        <v>154</v>
      </c>
      <c r="F605" s="0" t="s">
        <v>691</v>
      </c>
      <c r="G605" s="0" t="s">
        <v>692</v>
      </c>
      <c r="H605" s="0">
        <v>12</v>
      </c>
      <c r="I605" s="0">
        <v>53</v>
      </c>
      <c r="J605" s="0">
        <v>2780</v>
      </c>
    </row>
    <row r="606">
      <c r="A606" s="0" t="s">
        <v>28</v>
      </c>
      <c r="B606" s="0" t="s">
        <v>30</v>
      </c>
      <c r="C606" s="0" t="s">
        <v>188</v>
      </c>
      <c r="D606" s="0" t="s">
        <v>302</v>
      </c>
      <c r="E606" s="0" t="s">
        <v>154</v>
      </c>
      <c r="F606" s="0" t="s">
        <v>693</v>
      </c>
      <c r="G606" s="0" t="s">
        <v>694</v>
      </c>
      <c r="H606" s="0">
        <v>12</v>
      </c>
      <c r="I606" s="0">
        <v>53</v>
      </c>
      <c r="J606" s="0">
        <v>2780</v>
      </c>
    </row>
    <row r="607">
      <c r="A607" s="0" t="s">
        <v>28</v>
      </c>
      <c r="B607" s="0" t="s">
        <v>30</v>
      </c>
      <c r="C607" s="0" t="s">
        <v>188</v>
      </c>
      <c r="D607" s="0" t="s">
        <v>302</v>
      </c>
      <c r="E607" s="0" t="s">
        <v>154</v>
      </c>
      <c r="F607" s="0" t="s">
        <v>695</v>
      </c>
      <c r="G607" s="0" t="s">
        <v>300</v>
      </c>
      <c r="H607" s="0">
        <v>12</v>
      </c>
      <c r="I607" s="0">
        <v>53</v>
      </c>
      <c r="J607" s="0">
        <v>2780</v>
      </c>
    </row>
    <row r="608">
      <c r="A608" s="0" t="s">
        <v>28</v>
      </c>
      <c r="B608" s="0" t="s">
        <v>30</v>
      </c>
      <c r="C608" s="0" t="s">
        <v>188</v>
      </c>
      <c r="D608" s="0" t="s">
        <v>302</v>
      </c>
      <c r="E608" s="0" t="s">
        <v>154</v>
      </c>
      <c r="F608" s="0" t="s">
        <v>696</v>
      </c>
      <c r="G608" s="0" t="s">
        <v>697</v>
      </c>
      <c r="H608" s="0">
        <v>12</v>
      </c>
      <c r="I608" s="0">
        <v>53</v>
      </c>
      <c r="J608" s="0">
        <v>2780</v>
      </c>
    </row>
    <row r="609">
      <c r="A609" s="0" t="s">
        <v>28</v>
      </c>
      <c r="B609" s="0" t="s">
        <v>30</v>
      </c>
      <c r="C609" s="0" t="s">
        <v>188</v>
      </c>
      <c r="D609" s="0" t="s">
        <v>302</v>
      </c>
      <c r="E609" s="0" t="s">
        <v>154</v>
      </c>
      <c r="F609" s="0" t="s">
        <v>698</v>
      </c>
      <c r="G609" s="0" t="s">
        <v>602</v>
      </c>
      <c r="H609" s="0">
        <v>12</v>
      </c>
      <c r="I609" s="0">
        <v>53</v>
      </c>
      <c r="J609" s="0">
        <v>2780</v>
      </c>
    </row>
    <row r="610">
      <c r="A610" s="0" t="s">
        <v>28</v>
      </c>
      <c r="B610" s="0" t="s">
        <v>30</v>
      </c>
      <c r="C610" s="0" t="s">
        <v>188</v>
      </c>
      <c r="D610" s="0" t="s">
        <v>302</v>
      </c>
      <c r="E610" s="0" t="s">
        <v>154</v>
      </c>
      <c r="F610" s="0" t="s">
        <v>699</v>
      </c>
      <c r="G610" s="0" t="s">
        <v>700</v>
      </c>
      <c r="H610" s="0">
        <v>12</v>
      </c>
      <c r="I610" s="0">
        <v>53</v>
      </c>
      <c r="J610" s="0">
        <v>2780</v>
      </c>
    </row>
    <row r="611">
      <c r="A611" s="0" t="s">
        <v>28</v>
      </c>
      <c r="B611" s="0" t="s">
        <v>30</v>
      </c>
      <c r="C611" s="0" t="s">
        <v>188</v>
      </c>
      <c r="D611" s="0" t="s">
        <v>302</v>
      </c>
      <c r="E611" s="0" t="s">
        <v>154</v>
      </c>
      <c r="F611" s="0" t="s">
        <v>701</v>
      </c>
      <c r="G611" s="0" t="s">
        <v>854</v>
      </c>
      <c r="H611" s="0">
        <v>12</v>
      </c>
      <c r="I611" s="0">
        <v>53</v>
      </c>
      <c r="J611" s="0">
        <v>2780</v>
      </c>
    </row>
    <row r="612">
      <c r="A612" s="0" t="s">
        <v>28</v>
      </c>
      <c r="B612" s="0" t="s">
        <v>30</v>
      </c>
      <c r="C612" s="0" t="s">
        <v>188</v>
      </c>
      <c r="D612" s="0" t="s">
        <v>302</v>
      </c>
      <c r="E612" s="0" t="s">
        <v>154</v>
      </c>
      <c r="F612" s="0" t="s">
        <v>703</v>
      </c>
      <c r="G612" s="0" t="s">
        <v>855</v>
      </c>
      <c r="H612" s="0">
        <v>12</v>
      </c>
      <c r="I612" s="0">
        <v>53</v>
      </c>
      <c r="J612" s="0">
        <v>2780</v>
      </c>
    </row>
    <row r="613">
      <c r="A613" s="0" t="s">
        <v>28</v>
      </c>
      <c r="B613" s="0" t="s">
        <v>30</v>
      </c>
      <c r="C613" s="0" t="s">
        <v>188</v>
      </c>
      <c r="D613" s="0" t="s">
        <v>302</v>
      </c>
      <c r="E613" s="0" t="s">
        <v>154</v>
      </c>
      <c r="F613" s="0" t="s">
        <v>705</v>
      </c>
      <c r="G613" s="0" t="s">
        <v>379</v>
      </c>
      <c r="H613" s="0">
        <v>12</v>
      </c>
      <c r="I613" s="0">
        <v>53</v>
      </c>
      <c r="J613" s="0">
        <v>2780</v>
      </c>
    </row>
    <row r="614">
      <c r="A614" s="0" t="s">
        <v>28</v>
      </c>
      <c r="B614" s="0" t="s">
        <v>30</v>
      </c>
      <c r="C614" s="0" t="s">
        <v>188</v>
      </c>
      <c r="D614" s="0" t="s">
        <v>302</v>
      </c>
      <c r="E614" s="0" t="s">
        <v>154</v>
      </c>
      <c r="F614" s="0" t="s">
        <v>706</v>
      </c>
      <c r="G614" s="0" t="s">
        <v>370</v>
      </c>
      <c r="H614" s="0">
        <v>12</v>
      </c>
      <c r="I614" s="0">
        <v>53</v>
      </c>
      <c r="J614" s="0">
        <v>2780</v>
      </c>
    </row>
    <row r="615">
      <c r="A615" s="0" t="s">
        <v>28</v>
      </c>
      <c r="B615" s="0" t="s">
        <v>30</v>
      </c>
      <c r="C615" s="0" t="s">
        <v>188</v>
      </c>
      <c r="D615" s="0" t="s">
        <v>302</v>
      </c>
      <c r="E615" s="0" t="s">
        <v>154</v>
      </c>
      <c r="F615" s="0" t="s">
        <v>708</v>
      </c>
      <c r="G615" s="0" t="s">
        <v>858</v>
      </c>
      <c r="H615" s="0">
        <v>12</v>
      </c>
      <c r="I615" s="0">
        <v>53</v>
      </c>
      <c r="J615" s="0">
        <v>2780</v>
      </c>
    </row>
    <row r="616">
      <c r="A616" s="0" t="s">
        <v>28</v>
      </c>
      <c r="B616" s="0" t="s">
        <v>30</v>
      </c>
      <c r="C616" s="0" t="s">
        <v>190</v>
      </c>
      <c r="D616" s="0" t="s">
        <v>305</v>
      </c>
      <c r="E616" s="0" t="s">
        <v>154</v>
      </c>
      <c r="F616" s="0" t="s">
        <v>572</v>
      </c>
      <c r="G616" s="0" t="s">
        <v>573</v>
      </c>
      <c r="H616" s="0">
        <v>12</v>
      </c>
      <c r="I616" s="0">
        <v>56</v>
      </c>
      <c r="J616" s="0">
        <v>2782</v>
      </c>
    </row>
    <row r="617">
      <c r="A617" s="0" t="s">
        <v>28</v>
      </c>
      <c r="B617" s="0" t="s">
        <v>30</v>
      </c>
      <c r="C617" s="0" t="s">
        <v>190</v>
      </c>
      <c r="D617" s="0" t="s">
        <v>305</v>
      </c>
      <c r="E617" s="0" t="s">
        <v>154</v>
      </c>
      <c r="F617" s="0" t="s">
        <v>574</v>
      </c>
      <c r="G617" s="0" t="s">
        <v>341</v>
      </c>
      <c r="H617" s="0">
        <v>12</v>
      </c>
      <c r="I617" s="0">
        <v>56</v>
      </c>
      <c r="J617" s="0">
        <v>2782</v>
      </c>
    </row>
    <row r="618">
      <c r="A618" s="0" t="s">
        <v>28</v>
      </c>
      <c r="B618" s="0" t="s">
        <v>30</v>
      </c>
      <c r="C618" s="0" t="s">
        <v>190</v>
      </c>
      <c r="D618" s="0" t="s">
        <v>305</v>
      </c>
      <c r="E618" s="0" t="s">
        <v>154</v>
      </c>
      <c r="F618" s="0" t="s">
        <v>575</v>
      </c>
      <c r="G618" s="0" t="s">
        <v>395</v>
      </c>
      <c r="H618" s="0">
        <v>12</v>
      </c>
      <c r="I618" s="0">
        <v>56</v>
      </c>
      <c r="J618" s="0">
        <v>2782</v>
      </c>
    </row>
    <row r="619">
      <c r="A619" s="0" t="s">
        <v>28</v>
      </c>
      <c r="B619" s="0" t="s">
        <v>30</v>
      </c>
      <c r="C619" s="0" t="s">
        <v>190</v>
      </c>
      <c r="D619" s="0" t="s">
        <v>305</v>
      </c>
      <c r="E619" s="0" t="s">
        <v>154</v>
      </c>
      <c r="F619" s="0" t="s">
        <v>576</v>
      </c>
      <c r="G619" s="0" t="s">
        <v>819</v>
      </c>
      <c r="H619" s="0">
        <v>12</v>
      </c>
      <c r="I619" s="0">
        <v>56</v>
      </c>
      <c r="J619" s="0">
        <v>2782</v>
      </c>
    </row>
    <row r="620">
      <c r="A620" s="0" t="s">
        <v>28</v>
      </c>
      <c r="B620" s="0" t="s">
        <v>30</v>
      </c>
      <c r="C620" s="0" t="s">
        <v>190</v>
      </c>
      <c r="D620" s="0" t="s">
        <v>305</v>
      </c>
      <c r="E620" s="0" t="s">
        <v>154</v>
      </c>
      <c r="F620" s="0" t="s">
        <v>578</v>
      </c>
      <c r="G620" s="0" t="s">
        <v>820</v>
      </c>
      <c r="H620" s="0">
        <v>12</v>
      </c>
      <c r="I620" s="0">
        <v>56</v>
      </c>
      <c r="J620" s="0">
        <v>2782</v>
      </c>
    </row>
    <row r="621">
      <c r="A621" s="0" t="s">
        <v>28</v>
      </c>
      <c r="B621" s="0" t="s">
        <v>30</v>
      </c>
      <c r="C621" s="0" t="s">
        <v>190</v>
      </c>
      <c r="D621" s="0" t="s">
        <v>305</v>
      </c>
      <c r="E621" s="0" t="s">
        <v>154</v>
      </c>
      <c r="F621" s="0" t="s">
        <v>580</v>
      </c>
      <c r="G621" s="0" t="s">
        <v>869</v>
      </c>
      <c r="H621" s="0">
        <v>12</v>
      </c>
      <c r="I621" s="0">
        <v>56</v>
      </c>
      <c r="J621" s="0">
        <v>2782</v>
      </c>
    </row>
    <row r="622">
      <c r="A622" s="0" t="s">
        <v>28</v>
      </c>
      <c r="B622" s="0" t="s">
        <v>30</v>
      </c>
      <c r="C622" s="0" t="s">
        <v>190</v>
      </c>
      <c r="D622" s="0" t="s">
        <v>305</v>
      </c>
      <c r="E622" s="0" t="s">
        <v>154</v>
      </c>
      <c r="F622" s="0" t="s">
        <v>582</v>
      </c>
      <c r="G622" s="0" t="s">
        <v>870</v>
      </c>
      <c r="H622" s="0">
        <v>12</v>
      </c>
      <c r="I622" s="0">
        <v>56</v>
      </c>
      <c r="J622" s="0">
        <v>2782</v>
      </c>
    </row>
    <row r="623">
      <c r="A623" s="0" t="s">
        <v>28</v>
      </c>
      <c r="B623" s="0" t="s">
        <v>30</v>
      </c>
      <c r="C623" s="0" t="s">
        <v>190</v>
      </c>
      <c r="D623" s="0" t="s">
        <v>305</v>
      </c>
      <c r="E623" s="0" t="s">
        <v>154</v>
      </c>
      <c r="F623" s="0" t="s">
        <v>584</v>
      </c>
      <c r="G623" s="0" t="s">
        <v>823</v>
      </c>
      <c r="H623" s="0">
        <v>12</v>
      </c>
      <c r="I623" s="0">
        <v>56</v>
      </c>
      <c r="J623" s="0">
        <v>2782</v>
      </c>
    </row>
    <row r="624">
      <c r="A624" s="0" t="s">
        <v>28</v>
      </c>
      <c r="B624" s="0" t="s">
        <v>30</v>
      </c>
      <c r="C624" s="0" t="s">
        <v>190</v>
      </c>
      <c r="D624" s="0" t="s">
        <v>305</v>
      </c>
      <c r="E624" s="0" t="s">
        <v>154</v>
      </c>
      <c r="F624" s="0" t="s">
        <v>586</v>
      </c>
      <c r="G624" s="0" t="s">
        <v>587</v>
      </c>
      <c r="H624" s="0">
        <v>12</v>
      </c>
      <c r="I624" s="0">
        <v>56</v>
      </c>
      <c r="J624" s="0">
        <v>2782</v>
      </c>
    </row>
    <row r="625">
      <c r="A625" s="0" t="s">
        <v>28</v>
      </c>
      <c r="B625" s="0" t="s">
        <v>30</v>
      </c>
      <c r="C625" s="0" t="s">
        <v>190</v>
      </c>
      <c r="D625" s="0" t="s">
        <v>305</v>
      </c>
      <c r="E625" s="0" t="s">
        <v>154</v>
      </c>
      <c r="F625" s="0" t="s">
        <v>588</v>
      </c>
      <c r="G625" s="0" t="s">
        <v>824</v>
      </c>
      <c r="H625" s="0">
        <v>12</v>
      </c>
      <c r="I625" s="0">
        <v>56</v>
      </c>
      <c r="J625" s="0">
        <v>2782</v>
      </c>
    </row>
    <row r="626">
      <c r="A626" s="0" t="s">
        <v>28</v>
      </c>
      <c r="B626" s="0" t="s">
        <v>30</v>
      </c>
      <c r="C626" s="0" t="s">
        <v>190</v>
      </c>
      <c r="D626" s="0" t="s">
        <v>305</v>
      </c>
      <c r="E626" s="0" t="s">
        <v>154</v>
      </c>
      <c r="F626" s="0" t="s">
        <v>590</v>
      </c>
      <c r="G626" s="0" t="s">
        <v>299</v>
      </c>
      <c r="H626" s="0">
        <v>12</v>
      </c>
      <c r="I626" s="0">
        <v>56</v>
      </c>
      <c r="J626" s="0">
        <v>2782</v>
      </c>
    </row>
    <row r="627">
      <c r="A627" s="0" t="s">
        <v>28</v>
      </c>
      <c r="B627" s="0" t="s">
        <v>30</v>
      </c>
      <c r="C627" s="0" t="s">
        <v>190</v>
      </c>
      <c r="D627" s="0" t="s">
        <v>305</v>
      </c>
      <c r="E627" s="0" t="s">
        <v>154</v>
      </c>
      <c r="F627" s="0" t="s">
        <v>592</v>
      </c>
      <c r="G627" s="0" t="s">
        <v>498</v>
      </c>
      <c r="H627" s="0">
        <v>12</v>
      </c>
      <c r="I627" s="0">
        <v>56</v>
      </c>
      <c r="J627" s="0">
        <v>2782</v>
      </c>
    </row>
    <row r="628">
      <c r="A628" s="0" t="s">
        <v>28</v>
      </c>
      <c r="B628" s="0" t="s">
        <v>30</v>
      </c>
      <c r="C628" s="0" t="s">
        <v>190</v>
      </c>
      <c r="D628" s="0" t="s">
        <v>305</v>
      </c>
      <c r="E628" s="0" t="s">
        <v>154</v>
      </c>
      <c r="F628" s="0" t="s">
        <v>593</v>
      </c>
      <c r="G628" s="0" t="s">
        <v>871</v>
      </c>
      <c r="H628" s="0">
        <v>12</v>
      </c>
      <c r="I628" s="0">
        <v>56</v>
      </c>
      <c r="J628" s="0">
        <v>2782</v>
      </c>
    </row>
    <row r="629">
      <c r="A629" s="0" t="s">
        <v>28</v>
      </c>
      <c r="B629" s="0" t="s">
        <v>30</v>
      </c>
      <c r="C629" s="0" t="s">
        <v>190</v>
      </c>
      <c r="D629" s="0" t="s">
        <v>305</v>
      </c>
      <c r="E629" s="0" t="s">
        <v>154</v>
      </c>
      <c r="F629" s="0" t="s">
        <v>595</v>
      </c>
      <c r="G629" s="0" t="s">
        <v>826</v>
      </c>
      <c r="H629" s="0">
        <v>12</v>
      </c>
      <c r="I629" s="0">
        <v>56</v>
      </c>
      <c r="J629" s="0">
        <v>2782</v>
      </c>
    </row>
    <row r="630">
      <c r="A630" s="0" t="s">
        <v>28</v>
      </c>
      <c r="B630" s="0" t="s">
        <v>30</v>
      </c>
      <c r="C630" s="0" t="s">
        <v>190</v>
      </c>
      <c r="D630" s="0" t="s">
        <v>305</v>
      </c>
      <c r="E630" s="0" t="s">
        <v>154</v>
      </c>
      <c r="F630" s="0" t="s">
        <v>597</v>
      </c>
      <c r="G630" s="0" t="s">
        <v>827</v>
      </c>
      <c r="H630" s="0">
        <v>12</v>
      </c>
      <c r="I630" s="0">
        <v>56</v>
      </c>
      <c r="J630" s="0">
        <v>2782</v>
      </c>
    </row>
    <row r="631">
      <c r="A631" s="0" t="s">
        <v>28</v>
      </c>
      <c r="B631" s="0" t="s">
        <v>30</v>
      </c>
      <c r="C631" s="0" t="s">
        <v>190</v>
      </c>
      <c r="D631" s="0" t="s">
        <v>305</v>
      </c>
      <c r="E631" s="0" t="s">
        <v>154</v>
      </c>
      <c r="F631" s="0" t="s">
        <v>599</v>
      </c>
      <c r="G631" s="0" t="s">
        <v>600</v>
      </c>
      <c r="H631" s="0">
        <v>12</v>
      </c>
      <c r="I631" s="0">
        <v>56</v>
      </c>
      <c r="J631" s="0">
        <v>2782</v>
      </c>
    </row>
    <row r="632">
      <c r="A632" s="0" t="s">
        <v>28</v>
      </c>
      <c r="B632" s="0" t="s">
        <v>30</v>
      </c>
      <c r="C632" s="0" t="s">
        <v>190</v>
      </c>
      <c r="D632" s="0" t="s">
        <v>305</v>
      </c>
      <c r="E632" s="0" t="s">
        <v>154</v>
      </c>
      <c r="F632" s="0" t="s">
        <v>601</v>
      </c>
      <c r="G632" s="0" t="s">
        <v>602</v>
      </c>
      <c r="H632" s="0">
        <v>12</v>
      </c>
      <c r="I632" s="0">
        <v>56</v>
      </c>
      <c r="J632" s="0">
        <v>2782</v>
      </c>
    </row>
    <row r="633">
      <c r="A633" s="0" t="s">
        <v>28</v>
      </c>
      <c r="B633" s="0" t="s">
        <v>30</v>
      </c>
      <c r="C633" s="0" t="s">
        <v>190</v>
      </c>
      <c r="D633" s="0" t="s">
        <v>305</v>
      </c>
      <c r="E633" s="0" t="s">
        <v>154</v>
      </c>
      <c r="F633" s="0" t="s">
        <v>603</v>
      </c>
      <c r="G633" s="0" t="s">
        <v>828</v>
      </c>
      <c r="H633" s="0">
        <v>12</v>
      </c>
      <c r="I633" s="0">
        <v>56</v>
      </c>
      <c r="J633" s="0">
        <v>2782</v>
      </c>
    </row>
    <row r="634">
      <c r="A634" s="0" t="s">
        <v>28</v>
      </c>
      <c r="B634" s="0" t="s">
        <v>30</v>
      </c>
      <c r="C634" s="0" t="s">
        <v>190</v>
      </c>
      <c r="D634" s="0" t="s">
        <v>305</v>
      </c>
      <c r="E634" s="0" t="s">
        <v>154</v>
      </c>
      <c r="F634" s="0" t="s">
        <v>605</v>
      </c>
      <c r="G634" s="0" t="s">
        <v>114</v>
      </c>
      <c r="H634" s="0">
        <v>12</v>
      </c>
      <c r="I634" s="0">
        <v>56</v>
      </c>
      <c r="J634" s="0">
        <v>2782</v>
      </c>
    </row>
    <row r="635">
      <c r="A635" s="0" t="s">
        <v>28</v>
      </c>
      <c r="B635" s="0" t="s">
        <v>30</v>
      </c>
      <c r="C635" s="0" t="s">
        <v>190</v>
      </c>
      <c r="D635" s="0" t="s">
        <v>305</v>
      </c>
      <c r="E635" s="0" t="s">
        <v>154</v>
      </c>
      <c r="F635" s="0" t="s">
        <v>606</v>
      </c>
      <c r="G635" s="0" t="s">
        <v>607</v>
      </c>
      <c r="H635" s="0">
        <v>12</v>
      </c>
      <c r="I635" s="0">
        <v>56</v>
      </c>
      <c r="J635" s="0">
        <v>2782</v>
      </c>
    </row>
    <row r="636">
      <c r="A636" s="0" t="s">
        <v>28</v>
      </c>
      <c r="B636" s="0" t="s">
        <v>30</v>
      </c>
      <c r="C636" s="0" t="s">
        <v>190</v>
      </c>
      <c r="D636" s="0" t="s">
        <v>305</v>
      </c>
      <c r="E636" s="0" t="s">
        <v>154</v>
      </c>
      <c r="F636" s="0" t="s">
        <v>608</v>
      </c>
      <c r="G636" s="0" t="s">
        <v>829</v>
      </c>
      <c r="H636" s="0">
        <v>12</v>
      </c>
      <c r="I636" s="0">
        <v>56</v>
      </c>
      <c r="J636" s="0">
        <v>2782</v>
      </c>
    </row>
    <row r="637">
      <c r="A637" s="0" t="s">
        <v>28</v>
      </c>
      <c r="B637" s="0" t="s">
        <v>30</v>
      </c>
      <c r="C637" s="0" t="s">
        <v>190</v>
      </c>
      <c r="D637" s="0" t="s">
        <v>305</v>
      </c>
      <c r="E637" s="0" t="s">
        <v>154</v>
      </c>
      <c r="F637" s="0" t="s">
        <v>609</v>
      </c>
      <c r="G637" s="0" t="s">
        <v>602</v>
      </c>
      <c r="H637" s="0">
        <v>12</v>
      </c>
      <c r="I637" s="0">
        <v>56</v>
      </c>
      <c r="J637" s="0">
        <v>2782</v>
      </c>
    </row>
    <row r="638">
      <c r="A638" s="0" t="s">
        <v>28</v>
      </c>
      <c r="B638" s="0" t="s">
        <v>30</v>
      </c>
      <c r="C638" s="0" t="s">
        <v>190</v>
      </c>
      <c r="D638" s="0" t="s">
        <v>305</v>
      </c>
      <c r="E638" s="0" t="s">
        <v>154</v>
      </c>
      <c r="F638" s="0" t="s">
        <v>610</v>
      </c>
      <c r="G638" s="0" t="s">
        <v>830</v>
      </c>
      <c r="H638" s="0">
        <v>12</v>
      </c>
      <c r="I638" s="0">
        <v>56</v>
      </c>
      <c r="J638" s="0">
        <v>2782</v>
      </c>
    </row>
    <row r="639">
      <c r="A639" s="0" t="s">
        <v>28</v>
      </c>
      <c r="B639" s="0" t="s">
        <v>30</v>
      </c>
      <c r="C639" s="0" t="s">
        <v>190</v>
      </c>
      <c r="D639" s="0" t="s">
        <v>305</v>
      </c>
      <c r="E639" s="0" t="s">
        <v>154</v>
      </c>
      <c r="F639" s="0" t="s">
        <v>612</v>
      </c>
      <c r="G639" s="0" t="s">
        <v>872</v>
      </c>
      <c r="H639" s="0">
        <v>12</v>
      </c>
      <c r="I639" s="0">
        <v>56</v>
      </c>
      <c r="J639" s="0">
        <v>2782</v>
      </c>
    </row>
    <row r="640">
      <c r="A640" s="0" t="s">
        <v>28</v>
      </c>
      <c r="B640" s="0" t="s">
        <v>30</v>
      </c>
      <c r="C640" s="0" t="s">
        <v>190</v>
      </c>
      <c r="D640" s="0" t="s">
        <v>305</v>
      </c>
      <c r="E640" s="0" t="s">
        <v>154</v>
      </c>
      <c r="F640" s="0" t="s">
        <v>614</v>
      </c>
      <c r="G640" s="0" t="s">
        <v>873</v>
      </c>
      <c r="H640" s="0">
        <v>12</v>
      </c>
      <c r="I640" s="0">
        <v>56</v>
      </c>
      <c r="J640" s="0">
        <v>2782</v>
      </c>
    </row>
    <row r="641">
      <c r="A641" s="0" t="s">
        <v>28</v>
      </c>
      <c r="B641" s="0" t="s">
        <v>30</v>
      </c>
      <c r="C641" s="0" t="s">
        <v>190</v>
      </c>
      <c r="D641" s="0" t="s">
        <v>305</v>
      </c>
      <c r="E641" s="0" t="s">
        <v>154</v>
      </c>
      <c r="F641" s="0" t="s">
        <v>616</v>
      </c>
      <c r="G641" s="0" t="s">
        <v>833</v>
      </c>
      <c r="H641" s="0">
        <v>12</v>
      </c>
      <c r="I641" s="0">
        <v>56</v>
      </c>
      <c r="J641" s="0">
        <v>2782</v>
      </c>
    </row>
    <row r="642">
      <c r="A642" s="0" t="s">
        <v>28</v>
      </c>
      <c r="B642" s="0" t="s">
        <v>30</v>
      </c>
      <c r="C642" s="0" t="s">
        <v>190</v>
      </c>
      <c r="D642" s="0" t="s">
        <v>305</v>
      </c>
      <c r="E642" s="0" t="s">
        <v>154</v>
      </c>
      <c r="F642" s="0" t="s">
        <v>618</v>
      </c>
      <c r="G642" s="0" t="s">
        <v>602</v>
      </c>
      <c r="H642" s="0">
        <v>12</v>
      </c>
      <c r="I642" s="0">
        <v>56</v>
      </c>
      <c r="J642" s="0">
        <v>2782</v>
      </c>
    </row>
    <row r="643">
      <c r="A643" s="0" t="s">
        <v>28</v>
      </c>
      <c r="B643" s="0" t="s">
        <v>30</v>
      </c>
      <c r="C643" s="0" t="s">
        <v>190</v>
      </c>
      <c r="D643" s="0" t="s">
        <v>305</v>
      </c>
      <c r="E643" s="0" t="s">
        <v>154</v>
      </c>
      <c r="F643" s="0" t="s">
        <v>619</v>
      </c>
      <c r="G643" s="0" t="s">
        <v>561</v>
      </c>
      <c r="H643" s="0">
        <v>12</v>
      </c>
      <c r="I643" s="0">
        <v>56</v>
      </c>
      <c r="J643" s="0">
        <v>2782</v>
      </c>
    </row>
    <row r="644">
      <c r="A644" s="0" t="s">
        <v>28</v>
      </c>
      <c r="B644" s="0" t="s">
        <v>30</v>
      </c>
      <c r="C644" s="0" t="s">
        <v>190</v>
      </c>
      <c r="D644" s="0" t="s">
        <v>305</v>
      </c>
      <c r="E644" s="0" t="s">
        <v>154</v>
      </c>
      <c r="F644" s="0" t="s">
        <v>620</v>
      </c>
      <c r="G644" s="0" t="s">
        <v>114</v>
      </c>
      <c r="H644" s="0">
        <v>12</v>
      </c>
      <c r="I644" s="0">
        <v>56</v>
      </c>
      <c r="J644" s="0">
        <v>2782</v>
      </c>
    </row>
    <row r="645">
      <c r="A645" s="0" t="s">
        <v>28</v>
      </c>
      <c r="B645" s="0" t="s">
        <v>30</v>
      </c>
      <c r="C645" s="0" t="s">
        <v>190</v>
      </c>
      <c r="D645" s="0" t="s">
        <v>305</v>
      </c>
      <c r="E645" s="0" t="s">
        <v>154</v>
      </c>
      <c r="F645" s="0" t="s">
        <v>621</v>
      </c>
      <c r="G645" s="0" t="s">
        <v>834</v>
      </c>
      <c r="H645" s="0">
        <v>12</v>
      </c>
      <c r="I645" s="0">
        <v>56</v>
      </c>
      <c r="J645" s="0">
        <v>2782</v>
      </c>
    </row>
    <row r="646">
      <c r="A646" s="0" t="s">
        <v>28</v>
      </c>
      <c r="B646" s="0" t="s">
        <v>30</v>
      </c>
      <c r="C646" s="0" t="s">
        <v>190</v>
      </c>
      <c r="D646" s="0" t="s">
        <v>305</v>
      </c>
      <c r="E646" s="0" t="s">
        <v>154</v>
      </c>
      <c r="F646" s="0" t="s">
        <v>623</v>
      </c>
      <c r="G646" s="0" t="s">
        <v>835</v>
      </c>
      <c r="H646" s="0">
        <v>12</v>
      </c>
      <c r="I646" s="0">
        <v>56</v>
      </c>
      <c r="J646" s="0">
        <v>2782</v>
      </c>
    </row>
    <row r="647">
      <c r="A647" s="0" t="s">
        <v>28</v>
      </c>
      <c r="B647" s="0" t="s">
        <v>30</v>
      </c>
      <c r="C647" s="0" t="s">
        <v>190</v>
      </c>
      <c r="D647" s="0" t="s">
        <v>305</v>
      </c>
      <c r="E647" s="0" t="s">
        <v>154</v>
      </c>
      <c r="F647" s="0" t="s">
        <v>625</v>
      </c>
      <c r="G647" s="0" t="s">
        <v>836</v>
      </c>
      <c r="H647" s="0">
        <v>12</v>
      </c>
      <c r="I647" s="0">
        <v>56</v>
      </c>
      <c r="J647" s="0">
        <v>2782</v>
      </c>
    </row>
    <row r="648">
      <c r="A648" s="0" t="s">
        <v>28</v>
      </c>
      <c r="B648" s="0" t="s">
        <v>30</v>
      </c>
      <c r="C648" s="0" t="s">
        <v>190</v>
      </c>
      <c r="D648" s="0" t="s">
        <v>305</v>
      </c>
      <c r="E648" s="0" t="s">
        <v>154</v>
      </c>
      <c r="F648" s="0" t="s">
        <v>627</v>
      </c>
      <c r="G648" s="0" t="s">
        <v>628</v>
      </c>
      <c r="H648" s="0">
        <v>12</v>
      </c>
      <c r="I648" s="0">
        <v>56</v>
      </c>
      <c r="J648" s="0">
        <v>2782</v>
      </c>
    </row>
    <row r="649">
      <c r="A649" s="0" t="s">
        <v>28</v>
      </c>
      <c r="B649" s="0" t="s">
        <v>30</v>
      </c>
      <c r="C649" s="0" t="s">
        <v>190</v>
      </c>
      <c r="D649" s="0" t="s">
        <v>305</v>
      </c>
      <c r="E649" s="0" t="s">
        <v>154</v>
      </c>
      <c r="F649" s="0" t="s">
        <v>629</v>
      </c>
      <c r="G649" s="0" t="s">
        <v>630</v>
      </c>
      <c r="H649" s="0">
        <v>12</v>
      </c>
      <c r="I649" s="0">
        <v>56</v>
      </c>
      <c r="J649" s="0">
        <v>2782</v>
      </c>
    </row>
    <row r="650">
      <c r="A650" s="0" t="s">
        <v>28</v>
      </c>
      <c r="B650" s="0" t="s">
        <v>30</v>
      </c>
      <c r="C650" s="0" t="s">
        <v>190</v>
      </c>
      <c r="D650" s="0" t="s">
        <v>305</v>
      </c>
      <c r="E650" s="0" t="s">
        <v>154</v>
      </c>
      <c r="F650" s="0" t="s">
        <v>631</v>
      </c>
      <c r="G650" s="0" t="s">
        <v>556</v>
      </c>
      <c r="H650" s="0">
        <v>12</v>
      </c>
      <c r="I650" s="0">
        <v>56</v>
      </c>
      <c r="J650" s="0">
        <v>2782</v>
      </c>
    </row>
    <row r="651">
      <c r="A651" s="0" t="s">
        <v>28</v>
      </c>
      <c r="B651" s="0" t="s">
        <v>30</v>
      </c>
      <c r="C651" s="0" t="s">
        <v>190</v>
      </c>
      <c r="D651" s="0" t="s">
        <v>305</v>
      </c>
      <c r="E651" s="0" t="s">
        <v>154</v>
      </c>
      <c r="F651" s="0" t="s">
        <v>632</v>
      </c>
      <c r="G651" s="0" t="s">
        <v>298</v>
      </c>
      <c r="H651" s="0">
        <v>12</v>
      </c>
      <c r="I651" s="0">
        <v>56</v>
      </c>
      <c r="J651" s="0">
        <v>2782</v>
      </c>
    </row>
    <row r="652">
      <c r="A652" s="0" t="s">
        <v>28</v>
      </c>
      <c r="B652" s="0" t="s">
        <v>30</v>
      </c>
      <c r="C652" s="0" t="s">
        <v>190</v>
      </c>
      <c r="D652" s="0" t="s">
        <v>305</v>
      </c>
      <c r="E652" s="0" t="s">
        <v>154</v>
      </c>
      <c r="F652" s="0" t="s">
        <v>633</v>
      </c>
      <c r="G652" s="0" t="s">
        <v>634</v>
      </c>
      <c r="H652" s="0">
        <v>12</v>
      </c>
      <c r="I652" s="0">
        <v>56</v>
      </c>
      <c r="J652" s="0">
        <v>2782</v>
      </c>
    </row>
    <row r="653">
      <c r="A653" s="0" t="s">
        <v>28</v>
      </c>
      <c r="B653" s="0" t="s">
        <v>30</v>
      </c>
      <c r="C653" s="0" t="s">
        <v>190</v>
      </c>
      <c r="D653" s="0" t="s">
        <v>305</v>
      </c>
      <c r="E653" s="0" t="s">
        <v>154</v>
      </c>
      <c r="F653" s="0" t="s">
        <v>635</v>
      </c>
      <c r="G653" s="0" t="s">
        <v>634</v>
      </c>
      <c r="H653" s="0">
        <v>12</v>
      </c>
      <c r="I653" s="0">
        <v>56</v>
      </c>
      <c r="J653" s="0">
        <v>2782</v>
      </c>
    </row>
    <row r="654">
      <c r="A654" s="0" t="s">
        <v>28</v>
      </c>
      <c r="B654" s="0" t="s">
        <v>30</v>
      </c>
      <c r="C654" s="0" t="s">
        <v>190</v>
      </c>
      <c r="D654" s="0" t="s">
        <v>305</v>
      </c>
      <c r="E654" s="0" t="s">
        <v>154</v>
      </c>
      <c r="F654" s="0" t="s">
        <v>636</v>
      </c>
      <c r="G654" s="0" t="s">
        <v>114</v>
      </c>
      <c r="H654" s="0">
        <v>12</v>
      </c>
      <c r="I654" s="0">
        <v>56</v>
      </c>
      <c r="J654" s="0">
        <v>2782</v>
      </c>
    </row>
    <row r="655">
      <c r="A655" s="0" t="s">
        <v>28</v>
      </c>
      <c r="B655" s="0" t="s">
        <v>30</v>
      </c>
      <c r="C655" s="0" t="s">
        <v>190</v>
      </c>
      <c r="D655" s="0" t="s">
        <v>305</v>
      </c>
      <c r="E655" s="0" t="s">
        <v>154</v>
      </c>
      <c r="F655" s="0" t="s">
        <v>637</v>
      </c>
      <c r="G655" s="0" t="s">
        <v>607</v>
      </c>
      <c r="H655" s="0">
        <v>12</v>
      </c>
      <c r="I655" s="0">
        <v>56</v>
      </c>
      <c r="J655" s="0">
        <v>2782</v>
      </c>
    </row>
    <row r="656">
      <c r="A656" s="0" t="s">
        <v>28</v>
      </c>
      <c r="B656" s="0" t="s">
        <v>30</v>
      </c>
      <c r="C656" s="0" t="s">
        <v>190</v>
      </c>
      <c r="D656" s="0" t="s">
        <v>305</v>
      </c>
      <c r="E656" s="0" t="s">
        <v>154</v>
      </c>
      <c r="F656" s="0" t="s">
        <v>638</v>
      </c>
      <c r="G656" s="0" t="s">
        <v>874</v>
      </c>
      <c r="H656" s="0">
        <v>12</v>
      </c>
      <c r="I656" s="0">
        <v>56</v>
      </c>
      <c r="J656" s="0">
        <v>2782</v>
      </c>
    </row>
    <row r="657">
      <c r="A657" s="0" t="s">
        <v>28</v>
      </c>
      <c r="B657" s="0" t="s">
        <v>30</v>
      </c>
      <c r="C657" s="0" t="s">
        <v>190</v>
      </c>
      <c r="D657" s="0" t="s">
        <v>305</v>
      </c>
      <c r="E657" s="0" t="s">
        <v>154</v>
      </c>
      <c r="F657" s="0" t="s">
        <v>640</v>
      </c>
      <c r="G657" s="0" t="s">
        <v>114</v>
      </c>
      <c r="H657" s="0">
        <v>12</v>
      </c>
      <c r="I657" s="0">
        <v>56</v>
      </c>
      <c r="J657" s="0">
        <v>2782</v>
      </c>
    </row>
    <row r="658">
      <c r="A658" s="0" t="s">
        <v>28</v>
      </c>
      <c r="B658" s="0" t="s">
        <v>30</v>
      </c>
      <c r="C658" s="0" t="s">
        <v>190</v>
      </c>
      <c r="D658" s="0" t="s">
        <v>305</v>
      </c>
      <c r="E658" s="0" t="s">
        <v>154</v>
      </c>
      <c r="F658" s="0" t="s">
        <v>641</v>
      </c>
      <c r="G658" s="0" t="s">
        <v>875</v>
      </c>
      <c r="H658" s="0">
        <v>12</v>
      </c>
      <c r="I658" s="0">
        <v>56</v>
      </c>
      <c r="J658" s="0">
        <v>2782</v>
      </c>
    </row>
    <row r="659">
      <c r="A659" s="0" t="s">
        <v>28</v>
      </c>
      <c r="B659" s="0" t="s">
        <v>30</v>
      </c>
      <c r="C659" s="0" t="s">
        <v>190</v>
      </c>
      <c r="D659" s="0" t="s">
        <v>305</v>
      </c>
      <c r="E659" s="0" t="s">
        <v>154</v>
      </c>
      <c r="F659" s="0" t="s">
        <v>643</v>
      </c>
      <c r="G659" s="0" t="s">
        <v>114</v>
      </c>
      <c r="H659" s="0">
        <v>12</v>
      </c>
      <c r="I659" s="0">
        <v>56</v>
      </c>
      <c r="J659" s="0">
        <v>2782</v>
      </c>
    </row>
    <row r="660">
      <c r="A660" s="0" t="s">
        <v>28</v>
      </c>
      <c r="B660" s="0" t="s">
        <v>30</v>
      </c>
      <c r="C660" s="0" t="s">
        <v>190</v>
      </c>
      <c r="D660" s="0" t="s">
        <v>305</v>
      </c>
      <c r="E660" s="0" t="s">
        <v>154</v>
      </c>
      <c r="F660" s="0" t="s">
        <v>644</v>
      </c>
      <c r="G660" s="0" t="s">
        <v>341</v>
      </c>
      <c r="H660" s="0">
        <v>12</v>
      </c>
      <c r="I660" s="0">
        <v>56</v>
      </c>
      <c r="J660" s="0">
        <v>2782</v>
      </c>
    </row>
    <row r="661">
      <c r="A661" s="0" t="s">
        <v>28</v>
      </c>
      <c r="B661" s="0" t="s">
        <v>30</v>
      </c>
      <c r="C661" s="0" t="s">
        <v>190</v>
      </c>
      <c r="D661" s="0" t="s">
        <v>305</v>
      </c>
      <c r="E661" s="0" t="s">
        <v>154</v>
      </c>
      <c r="F661" s="0" t="s">
        <v>645</v>
      </c>
      <c r="G661" s="0" t="s">
        <v>646</v>
      </c>
      <c r="H661" s="0">
        <v>12</v>
      </c>
      <c r="I661" s="0">
        <v>56</v>
      </c>
      <c r="J661" s="0">
        <v>2782</v>
      </c>
    </row>
    <row r="662">
      <c r="A662" s="0" t="s">
        <v>28</v>
      </c>
      <c r="B662" s="0" t="s">
        <v>30</v>
      </c>
      <c r="C662" s="0" t="s">
        <v>190</v>
      </c>
      <c r="D662" s="0" t="s">
        <v>305</v>
      </c>
      <c r="E662" s="0" t="s">
        <v>154</v>
      </c>
      <c r="F662" s="0" t="s">
        <v>647</v>
      </c>
      <c r="G662" s="0" t="s">
        <v>876</v>
      </c>
      <c r="H662" s="0">
        <v>12</v>
      </c>
      <c r="I662" s="0">
        <v>56</v>
      </c>
      <c r="J662" s="0">
        <v>2782</v>
      </c>
    </row>
    <row r="663">
      <c r="A663" s="0" t="s">
        <v>28</v>
      </c>
      <c r="B663" s="0" t="s">
        <v>30</v>
      </c>
      <c r="C663" s="0" t="s">
        <v>190</v>
      </c>
      <c r="D663" s="0" t="s">
        <v>305</v>
      </c>
      <c r="E663" s="0" t="s">
        <v>154</v>
      </c>
      <c r="F663" s="0" t="s">
        <v>649</v>
      </c>
      <c r="G663" s="0" t="s">
        <v>269</v>
      </c>
      <c r="H663" s="0">
        <v>12</v>
      </c>
      <c r="I663" s="0">
        <v>56</v>
      </c>
      <c r="J663" s="0">
        <v>2782</v>
      </c>
    </row>
    <row r="664">
      <c r="A664" s="0" t="s">
        <v>28</v>
      </c>
      <c r="B664" s="0" t="s">
        <v>30</v>
      </c>
      <c r="C664" s="0" t="s">
        <v>190</v>
      </c>
      <c r="D664" s="0" t="s">
        <v>305</v>
      </c>
      <c r="E664" s="0" t="s">
        <v>154</v>
      </c>
      <c r="F664" s="0" t="s">
        <v>650</v>
      </c>
      <c r="G664" s="0" t="s">
        <v>651</v>
      </c>
      <c r="H664" s="0">
        <v>12</v>
      </c>
      <c r="I664" s="0">
        <v>56</v>
      </c>
      <c r="J664" s="0">
        <v>2782</v>
      </c>
    </row>
    <row r="665">
      <c r="A665" s="0" t="s">
        <v>28</v>
      </c>
      <c r="B665" s="0" t="s">
        <v>30</v>
      </c>
      <c r="C665" s="0" t="s">
        <v>190</v>
      </c>
      <c r="D665" s="0" t="s">
        <v>305</v>
      </c>
      <c r="E665" s="0" t="s">
        <v>154</v>
      </c>
      <c r="F665" s="0" t="s">
        <v>840</v>
      </c>
      <c r="G665" s="0" t="s">
        <v>841</v>
      </c>
      <c r="H665" s="0">
        <v>12</v>
      </c>
      <c r="I665" s="0">
        <v>56</v>
      </c>
      <c r="J665" s="0">
        <v>2782</v>
      </c>
    </row>
    <row r="666">
      <c r="A666" s="0" t="s">
        <v>28</v>
      </c>
      <c r="B666" s="0" t="s">
        <v>30</v>
      </c>
      <c r="C666" s="0" t="s">
        <v>190</v>
      </c>
      <c r="D666" s="0" t="s">
        <v>305</v>
      </c>
      <c r="E666" s="0" t="s">
        <v>154</v>
      </c>
      <c r="F666" s="0" t="s">
        <v>652</v>
      </c>
      <c r="G666" s="0" t="s">
        <v>842</v>
      </c>
      <c r="H666" s="0">
        <v>12</v>
      </c>
      <c r="I666" s="0">
        <v>56</v>
      </c>
      <c r="J666" s="0">
        <v>2782</v>
      </c>
    </row>
    <row r="667">
      <c r="A667" s="0" t="s">
        <v>28</v>
      </c>
      <c r="B667" s="0" t="s">
        <v>30</v>
      </c>
      <c r="C667" s="0" t="s">
        <v>190</v>
      </c>
      <c r="D667" s="0" t="s">
        <v>305</v>
      </c>
      <c r="E667" s="0" t="s">
        <v>154</v>
      </c>
      <c r="F667" s="0" t="s">
        <v>654</v>
      </c>
      <c r="G667" s="0" t="s">
        <v>655</v>
      </c>
      <c r="H667" s="0">
        <v>12</v>
      </c>
      <c r="I667" s="0">
        <v>56</v>
      </c>
      <c r="J667" s="0">
        <v>2782</v>
      </c>
    </row>
    <row r="668">
      <c r="A668" s="0" t="s">
        <v>28</v>
      </c>
      <c r="B668" s="0" t="s">
        <v>30</v>
      </c>
      <c r="C668" s="0" t="s">
        <v>190</v>
      </c>
      <c r="D668" s="0" t="s">
        <v>305</v>
      </c>
      <c r="E668" s="0" t="s">
        <v>154</v>
      </c>
      <c r="F668" s="0" t="s">
        <v>656</v>
      </c>
      <c r="G668" s="0" t="s">
        <v>602</v>
      </c>
      <c r="H668" s="0">
        <v>12</v>
      </c>
      <c r="I668" s="0">
        <v>56</v>
      </c>
      <c r="J668" s="0">
        <v>2782</v>
      </c>
    </row>
    <row r="669">
      <c r="A669" s="0" t="s">
        <v>28</v>
      </c>
      <c r="B669" s="0" t="s">
        <v>30</v>
      </c>
      <c r="C669" s="0" t="s">
        <v>190</v>
      </c>
      <c r="D669" s="0" t="s">
        <v>305</v>
      </c>
      <c r="E669" s="0" t="s">
        <v>154</v>
      </c>
      <c r="F669" s="0" t="s">
        <v>657</v>
      </c>
      <c r="G669" s="0" t="s">
        <v>300</v>
      </c>
      <c r="H669" s="0">
        <v>12</v>
      </c>
      <c r="I669" s="0">
        <v>56</v>
      </c>
      <c r="J669" s="0">
        <v>2782</v>
      </c>
    </row>
    <row r="670">
      <c r="A670" s="0" t="s">
        <v>28</v>
      </c>
      <c r="B670" s="0" t="s">
        <v>30</v>
      </c>
      <c r="C670" s="0" t="s">
        <v>190</v>
      </c>
      <c r="D670" s="0" t="s">
        <v>305</v>
      </c>
      <c r="E670" s="0" t="s">
        <v>154</v>
      </c>
      <c r="F670" s="0" t="s">
        <v>658</v>
      </c>
      <c r="G670" s="0" t="s">
        <v>561</v>
      </c>
      <c r="H670" s="0">
        <v>12</v>
      </c>
      <c r="I670" s="0">
        <v>56</v>
      </c>
      <c r="J670" s="0">
        <v>2782</v>
      </c>
    </row>
    <row r="671">
      <c r="A671" s="0" t="s">
        <v>28</v>
      </c>
      <c r="B671" s="0" t="s">
        <v>30</v>
      </c>
      <c r="C671" s="0" t="s">
        <v>190</v>
      </c>
      <c r="D671" s="0" t="s">
        <v>305</v>
      </c>
      <c r="E671" s="0" t="s">
        <v>154</v>
      </c>
      <c r="F671" s="0" t="s">
        <v>659</v>
      </c>
      <c r="G671" s="0" t="s">
        <v>845</v>
      </c>
      <c r="H671" s="0">
        <v>12</v>
      </c>
      <c r="I671" s="0">
        <v>56</v>
      </c>
      <c r="J671" s="0">
        <v>2782</v>
      </c>
    </row>
    <row r="672">
      <c r="A672" s="0" t="s">
        <v>28</v>
      </c>
      <c r="B672" s="0" t="s">
        <v>30</v>
      </c>
      <c r="C672" s="0" t="s">
        <v>190</v>
      </c>
      <c r="D672" s="0" t="s">
        <v>305</v>
      </c>
      <c r="E672" s="0" t="s">
        <v>154</v>
      </c>
      <c r="F672" s="0" t="s">
        <v>661</v>
      </c>
      <c r="G672" s="0" t="s">
        <v>778</v>
      </c>
      <c r="H672" s="0">
        <v>12</v>
      </c>
      <c r="I672" s="0">
        <v>56</v>
      </c>
      <c r="J672" s="0">
        <v>2782</v>
      </c>
    </row>
    <row r="673">
      <c r="A673" s="0" t="s">
        <v>28</v>
      </c>
      <c r="B673" s="0" t="s">
        <v>30</v>
      </c>
      <c r="C673" s="0" t="s">
        <v>190</v>
      </c>
      <c r="D673" s="0" t="s">
        <v>305</v>
      </c>
      <c r="E673" s="0" t="s">
        <v>154</v>
      </c>
      <c r="F673" s="0" t="s">
        <v>663</v>
      </c>
      <c r="G673" s="0" t="s">
        <v>114</v>
      </c>
      <c r="H673" s="0">
        <v>12</v>
      </c>
      <c r="I673" s="0">
        <v>56</v>
      </c>
      <c r="J673" s="0">
        <v>2782</v>
      </c>
    </row>
    <row r="674">
      <c r="A674" s="0" t="s">
        <v>28</v>
      </c>
      <c r="B674" s="0" t="s">
        <v>30</v>
      </c>
      <c r="C674" s="0" t="s">
        <v>190</v>
      </c>
      <c r="D674" s="0" t="s">
        <v>305</v>
      </c>
      <c r="E674" s="0" t="s">
        <v>154</v>
      </c>
      <c r="F674" s="0" t="s">
        <v>664</v>
      </c>
      <c r="G674" s="0" t="s">
        <v>846</v>
      </c>
      <c r="H674" s="0">
        <v>12</v>
      </c>
      <c r="I674" s="0">
        <v>56</v>
      </c>
      <c r="J674" s="0">
        <v>2782</v>
      </c>
    </row>
    <row r="675">
      <c r="A675" s="0" t="s">
        <v>28</v>
      </c>
      <c r="B675" s="0" t="s">
        <v>30</v>
      </c>
      <c r="C675" s="0" t="s">
        <v>190</v>
      </c>
      <c r="D675" s="0" t="s">
        <v>305</v>
      </c>
      <c r="E675" s="0" t="s">
        <v>154</v>
      </c>
      <c r="F675" s="0" t="s">
        <v>666</v>
      </c>
      <c r="G675" s="0" t="s">
        <v>823</v>
      </c>
      <c r="H675" s="0">
        <v>12</v>
      </c>
      <c r="I675" s="0">
        <v>56</v>
      </c>
      <c r="J675" s="0">
        <v>2782</v>
      </c>
    </row>
    <row r="676">
      <c r="A676" s="0" t="s">
        <v>28</v>
      </c>
      <c r="B676" s="0" t="s">
        <v>30</v>
      </c>
      <c r="C676" s="0" t="s">
        <v>190</v>
      </c>
      <c r="D676" s="0" t="s">
        <v>305</v>
      </c>
      <c r="E676" s="0" t="s">
        <v>154</v>
      </c>
      <c r="F676" s="0" t="s">
        <v>667</v>
      </c>
      <c r="G676" s="0" t="s">
        <v>847</v>
      </c>
      <c r="H676" s="0">
        <v>12</v>
      </c>
      <c r="I676" s="0">
        <v>56</v>
      </c>
      <c r="J676" s="0">
        <v>2782</v>
      </c>
    </row>
    <row r="677">
      <c r="A677" s="0" t="s">
        <v>28</v>
      </c>
      <c r="B677" s="0" t="s">
        <v>30</v>
      </c>
      <c r="C677" s="0" t="s">
        <v>190</v>
      </c>
      <c r="D677" s="0" t="s">
        <v>305</v>
      </c>
      <c r="E677" s="0" t="s">
        <v>154</v>
      </c>
      <c r="F677" s="0" t="s">
        <v>669</v>
      </c>
      <c r="G677" s="0" t="s">
        <v>556</v>
      </c>
      <c r="H677" s="0">
        <v>12</v>
      </c>
      <c r="I677" s="0">
        <v>56</v>
      </c>
      <c r="J677" s="0">
        <v>2782</v>
      </c>
    </row>
    <row r="678">
      <c r="A678" s="0" t="s">
        <v>28</v>
      </c>
      <c r="B678" s="0" t="s">
        <v>30</v>
      </c>
      <c r="C678" s="0" t="s">
        <v>190</v>
      </c>
      <c r="D678" s="0" t="s">
        <v>305</v>
      </c>
      <c r="E678" s="0" t="s">
        <v>154</v>
      </c>
      <c r="F678" s="0" t="s">
        <v>670</v>
      </c>
      <c r="G678" s="0" t="s">
        <v>877</v>
      </c>
      <c r="H678" s="0">
        <v>12</v>
      </c>
      <c r="I678" s="0">
        <v>56</v>
      </c>
      <c r="J678" s="0">
        <v>2782</v>
      </c>
    </row>
    <row r="679">
      <c r="A679" s="0" t="s">
        <v>28</v>
      </c>
      <c r="B679" s="0" t="s">
        <v>30</v>
      </c>
      <c r="C679" s="0" t="s">
        <v>190</v>
      </c>
      <c r="D679" s="0" t="s">
        <v>305</v>
      </c>
      <c r="E679" s="0" t="s">
        <v>154</v>
      </c>
      <c r="F679" s="0" t="s">
        <v>672</v>
      </c>
      <c r="G679" s="0" t="s">
        <v>498</v>
      </c>
      <c r="H679" s="0">
        <v>12</v>
      </c>
      <c r="I679" s="0">
        <v>56</v>
      </c>
      <c r="J679" s="0">
        <v>2782</v>
      </c>
    </row>
    <row r="680">
      <c r="A680" s="0" t="s">
        <v>28</v>
      </c>
      <c r="B680" s="0" t="s">
        <v>30</v>
      </c>
      <c r="C680" s="0" t="s">
        <v>190</v>
      </c>
      <c r="D680" s="0" t="s">
        <v>305</v>
      </c>
      <c r="E680" s="0" t="s">
        <v>154</v>
      </c>
      <c r="F680" s="0" t="s">
        <v>673</v>
      </c>
      <c r="G680" s="0" t="s">
        <v>827</v>
      </c>
      <c r="H680" s="0">
        <v>12</v>
      </c>
      <c r="I680" s="0">
        <v>56</v>
      </c>
      <c r="J680" s="0">
        <v>2782</v>
      </c>
    </row>
    <row r="681">
      <c r="A681" s="0" t="s">
        <v>28</v>
      </c>
      <c r="B681" s="0" t="s">
        <v>30</v>
      </c>
      <c r="C681" s="0" t="s">
        <v>190</v>
      </c>
      <c r="D681" s="0" t="s">
        <v>305</v>
      </c>
      <c r="E681" s="0" t="s">
        <v>154</v>
      </c>
      <c r="F681" s="0" t="s">
        <v>674</v>
      </c>
      <c r="G681" s="0" t="s">
        <v>341</v>
      </c>
      <c r="H681" s="0">
        <v>12</v>
      </c>
      <c r="I681" s="0">
        <v>56</v>
      </c>
      <c r="J681" s="0">
        <v>2782</v>
      </c>
    </row>
    <row r="682">
      <c r="A682" s="0" t="s">
        <v>28</v>
      </c>
      <c r="B682" s="0" t="s">
        <v>30</v>
      </c>
      <c r="C682" s="0" t="s">
        <v>190</v>
      </c>
      <c r="D682" s="0" t="s">
        <v>305</v>
      </c>
      <c r="E682" s="0" t="s">
        <v>154</v>
      </c>
      <c r="F682" s="0" t="s">
        <v>675</v>
      </c>
      <c r="G682" s="0" t="s">
        <v>849</v>
      </c>
      <c r="H682" s="0">
        <v>12</v>
      </c>
      <c r="I682" s="0">
        <v>56</v>
      </c>
      <c r="J682" s="0">
        <v>2782</v>
      </c>
    </row>
    <row r="683">
      <c r="A683" s="0" t="s">
        <v>28</v>
      </c>
      <c r="B683" s="0" t="s">
        <v>30</v>
      </c>
      <c r="C683" s="0" t="s">
        <v>190</v>
      </c>
      <c r="D683" s="0" t="s">
        <v>305</v>
      </c>
      <c r="E683" s="0" t="s">
        <v>154</v>
      </c>
      <c r="F683" s="0" t="s">
        <v>677</v>
      </c>
      <c r="G683" s="0" t="s">
        <v>561</v>
      </c>
      <c r="H683" s="0">
        <v>12</v>
      </c>
      <c r="I683" s="0">
        <v>56</v>
      </c>
      <c r="J683" s="0">
        <v>2782</v>
      </c>
    </row>
    <row r="684">
      <c r="A684" s="0" t="s">
        <v>28</v>
      </c>
      <c r="B684" s="0" t="s">
        <v>30</v>
      </c>
      <c r="C684" s="0" t="s">
        <v>190</v>
      </c>
      <c r="D684" s="0" t="s">
        <v>305</v>
      </c>
      <c r="E684" s="0" t="s">
        <v>154</v>
      </c>
      <c r="F684" s="0" t="s">
        <v>678</v>
      </c>
      <c r="G684" s="0" t="s">
        <v>850</v>
      </c>
      <c r="H684" s="0">
        <v>12</v>
      </c>
      <c r="I684" s="0">
        <v>56</v>
      </c>
      <c r="J684" s="0">
        <v>2782</v>
      </c>
    </row>
    <row r="685">
      <c r="A685" s="0" t="s">
        <v>28</v>
      </c>
      <c r="B685" s="0" t="s">
        <v>30</v>
      </c>
      <c r="C685" s="0" t="s">
        <v>190</v>
      </c>
      <c r="D685" s="0" t="s">
        <v>305</v>
      </c>
      <c r="E685" s="0" t="s">
        <v>154</v>
      </c>
      <c r="F685" s="0" t="s">
        <v>680</v>
      </c>
      <c r="G685" s="0" t="s">
        <v>851</v>
      </c>
      <c r="H685" s="0">
        <v>12</v>
      </c>
      <c r="I685" s="0">
        <v>56</v>
      </c>
      <c r="J685" s="0">
        <v>2782</v>
      </c>
    </row>
    <row r="686">
      <c r="A686" s="0" t="s">
        <v>28</v>
      </c>
      <c r="B686" s="0" t="s">
        <v>30</v>
      </c>
      <c r="C686" s="0" t="s">
        <v>190</v>
      </c>
      <c r="D686" s="0" t="s">
        <v>305</v>
      </c>
      <c r="E686" s="0" t="s">
        <v>154</v>
      </c>
      <c r="F686" s="0" t="s">
        <v>682</v>
      </c>
      <c r="G686" s="0" t="s">
        <v>554</v>
      </c>
      <c r="H686" s="0">
        <v>12</v>
      </c>
      <c r="I686" s="0">
        <v>56</v>
      </c>
      <c r="J686" s="0">
        <v>2782</v>
      </c>
    </row>
    <row r="687">
      <c r="A687" s="0" t="s">
        <v>28</v>
      </c>
      <c r="B687" s="0" t="s">
        <v>30</v>
      </c>
      <c r="C687" s="0" t="s">
        <v>190</v>
      </c>
      <c r="D687" s="0" t="s">
        <v>305</v>
      </c>
      <c r="E687" s="0" t="s">
        <v>154</v>
      </c>
      <c r="F687" s="0" t="s">
        <v>683</v>
      </c>
      <c r="G687" s="0" t="s">
        <v>382</v>
      </c>
      <c r="H687" s="0">
        <v>12</v>
      </c>
      <c r="I687" s="0">
        <v>56</v>
      </c>
      <c r="J687" s="0">
        <v>2782</v>
      </c>
    </row>
    <row r="688">
      <c r="A688" s="0" t="s">
        <v>28</v>
      </c>
      <c r="B688" s="0" t="s">
        <v>30</v>
      </c>
      <c r="C688" s="0" t="s">
        <v>190</v>
      </c>
      <c r="D688" s="0" t="s">
        <v>305</v>
      </c>
      <c r="E688" s="0" t="s">
        <v>154</v>
      </c>
      <c r="F688" s="0" t="s">
        <v>685</v>
      </c>
      <c r="G688" s="0" t="s">
        <v>686</v>
      </c>
      <c r="H688" s="0">
        <v>12</v>
      </c>
      <c r="I688" s="0">
        <v>56</v>
      </c>
      <c r="J688" s="0">
        <v>2782</v>
      </c>
    </row>
    <row r="689">
      <c r="A689" s="0" t="s">
        <v>28</v>
      </c>
      <c r="B689" s="0" t="s">
        <v>30</v>
      </c>
      <c r="C689" s="0" t="s">
        <v>190</v>
      </c>
      <c r="D689" s="0" t="s">
        <v>305</v>
      </c>
      <c r="E689" s="0" t="s">
        <v>154</v>
      </c>
      <c r="F689" s="0" t="s">
        <v>687</v>
      </c>
      <c r="G689" s="0" t="s">
        <v>688</v>
      </c>
      <c r="H689" s="0">
        <v>12</v>
      </c>
      <c r="I689" s="0">
        <v>56</v>
      </c>
      <c r="J689" s="0">
        <v>2782</v>
      </c>
    </row>
    <row r="690">
      <c r="A690" s="0" t="s">
        <v>28</v>
      </c>
      <c r="B690" s="0" t="s">
        <v>30</v>
      </c>
      <c r="C690" s="0" t="s">
        <v>190</v>
      </c>
      <c r="D690" s="0" t="s">
        <v>305</v>
      </c>
      <c r="E690" s="0" t="s">
        <v>154</v>
      </c>
      <c r="F690" s="0" t="s">
        <v>690</v>
      </c>
      <c r="G690" s="0" t="s">
        <v>607</v>
      </c>
      <c r="H690" s="0">
        <v>12</v>
      </c>
      <c r="I690" s="0">
        <v>56</v>
      </c>
      <c r="J690" s="0">
        <v>2782</v>
      </c>
    </row>
    <row r="691">
      <c r="A691" s="0" t="s">
        <v>28</v>
      </c>
      <c r="B691" s="0" t="s">
        <v>30</v>
      </c>
      <c r="C691" s="0" t="s">
        <v>190</v>
      </c>
      <c r="D691" s="0" t="s">
        <v>305</v>
      </c>
      <c r="E691" s="0" t="s">
        <v>154</v>
      </c>
      <c r="F691" s="0" t="s">
        <v>691</v>
      </c>
      <c r="G691" s="0" t="s">
        <v>692</v>
      </c>
      <c r="H691" s="0">
        <v>12</v>
      </c>
      <c r="I691" s="0">
        <v>56</v>
      </c>
      <c r="J691" s="0">
        <v>2782</v>
      </c>
    </row>
    <row r="692">
      <c r="A692" s="0" t="s">
        <v>28</v>
      </c>
      <c r="B692" s="0" t="s">
        <v>30</v>
      </c>
      <c r="C692" s="0" t="s">
        <v>190</v>
      </c>
      <c r="D692" s="0" t="s">
        <v>305</v>
      </c>
      <c r="E692" s="0" t="s">
        <v>154</v>
      </c>
      <c r="F692" s="0" t="s">
        <v>693</v>
      </c>
      <c r="G692" s="0" t="s">
        <v>694</v>
      </c>
      <c r="H692" s="0">
        <v>12</v>
      </c>
      <c r="I692" s="0">
        <v>56</v>
      </c>
      <c r="J692" s="0">
        <v>2782</v>
      </c>
    </row>
    <row r="693">
      <c r="A693" s="0" t="s">
        <v>28</v>
      </c>
      <c r="B693" s="0" t="s">
        <v>30</v>
      </c>
      <c r="C693" s="0" t="s">
        <v>190</v>
      </c>
      <c r="D693" s="0" t="s">
        <v>305</v>
      </c>
      <c r="E693" s="0" t="s">
        <v>154</v>
      </c>
      <c r="F693" s="0" t="s">
        <v>852</v>
      </c>
      <c r="G693" s="0" t="s">
        <v>853</v>
      </c>
      <c r="H693" s="0">
        <v>12</v>
      </c>
      <c r="I693" s="0">
        <v>56</v>
      </c>
      <c r="J693" s="0">
        <v>2782</v>
      </c>
    </row>
    <row r="694">
      <c r="A694" s="0" t="s">
        <v>28</v>
      </c>
      <c r="B694" s="0" t="s">
        <v>30</v>
      </c>
      <c r="C694" s="0" t="s">
        <v>190</v>
      </c>
      <c r="D694" s="0" t="s">
        <v>305</v>
      </c>
      <c r="E694" s="0" t="s">
        <v>154</v>
      </c>
      <c r="F694" s="0" t="s">
        <v>695</v>
      </c>
      <c r="G694" s="0" t="s">
        <v>300</v>
      </c>
      <c r="H694" s="0">
        <v>12</v>
      </c>
      <c r="I694" s="0">
        <v>56</v>
      </c>
      <c r="J694" s="0">
        <v>2782</v>
      </c>
    </row>
    <row r="695">
      <c r="A695" s="0" t="s">
        <v>28</v>
      </c>
      <c r="B695" s="0" t="s">
        <v>30</v>
      </c>
      <c r="C695" s="0" t="s">
        <v>190</v>
      </c>
      <c r="D695" s="0" t="s">
        <v>305</v>
      </c>
      <c r="E695" s="0" t="s">
        <v>154</v>
      </c>
      <c r="F695" s="0" t="s">
        <v>696</v>
      </c>
      <c r="G695" s="0" t="s">
        <v>697</v>
      </c>
      <c r="H695" s="0">
        <v>12</v>
      </c>
      <c r="I695" s="0">
        <v>56</v>
      </c>
      <c r="J695" s="0">
        <v>2782</v>
      </c>
    </row>
    <row r="696">
      <c r="A696" s="0" t="s">
        <v>28</v>
      </c>
      <c r="B696" s="0" t="s">
        <v>30</v>
      </c>
      <c r="C696" s="0" t="s">
        <v>190</v>
      </c>
      <c r="D696" s="0" t="s">
        <v>305</v>
      </c>
      <c r="E696" s="0" t="s">
        <v>154</v>
      </c>
      <c r="F696" s="0" t="s">
        <v>698</v>
      </c>
      <c r="G696" s="0" t="s">
        <v>602</v>
      </c>
      <c r="H696" s="0">
        <v>12</v>
      </c>
      <c r="I696" s="0">
        <v>56</v>
      </c>
      <c r="J696" s="0">
        <v>2782</v>
      </c>
    </row>
    <row r="697">
      <c r="A697" s="0" t="s">
        <v>28</v>
      </c>
      <c r="B697" s="0" t="s">
        <v>30</v>
      </c>
      <c r="C697" s="0" t="s">
        <v>190</v>
      </c>
      <c r="D697" s="0" t="s">
        <v>305</v>
      </c>
      <c r="E697" s="0" t="s">
        <v>154</v>
      </c>
      <c r="F697" s="0" t="s">
        <v>699</v>
      </c>
      <c r="G697" s="0" t="s">
        <v>700</v>
      </c>
      <c r="H697" s="0">
        <v>12</v>
      </c>
      <c r="I697" s="0">
        <v>56</v>
      </c>
      <c r="J697" s="0">
        <v>2782</v>
      </c>
    </row>
    <row r="698">
      <c r="A698" s="0" t="s">
        <v>28</v>
      </c>
      <c r="B698" s="0" t="s">
        <v>30</v>
      </c>
      <c r="C698" s="0" t="s">
        <v>190</v>
      </c>
      <c r="D698" s="0" t="s">
        <v>305</v>
      </c>
      <c r="E698" s="0" t="s">
        <v>154</v>
      </c>
      <c r="F698" s="0" t="s">
        <v>701</v>
      </c>
      <c r="G698" s="0" t="s">
        <v>854</v>
      </c>
      <c r="H698" s="0">
        <v>12</v>
      </c>
      <c r="I698" s="0">
        <v>56</v>
      </c>
      <c r="J698" s="0">
        <v>2782</v>
      </c>
    </row>
    <row r="699">
      <c r="A699" s="0" t="s">
        <v>28</v>
      </c>
      <c r="B699" s="0" t="s">
        <v>30</v>
      </c>
      <c r="C699" s="0" t="s">
        <v>190</v>
      </c>
      <c r="D699" s="0" t="s">
        <v>305</v>
      </c>
      <c r="E699" s="0" t="s">
        <v>154</v>
      </c>
      <c r="F699" s="0" t="s">
        <v>703</v>
      </c>
      <c r="G699" s="0" t="s">
        <v>855</v>
      </c>
      <c r="H699" s="0">
        <v>12</v>
      </c>
      <c r="I699" s="0">
        <v>56</v>
      </c>
      <c r="J699" s="0">
        <v>2782</v>
      </c>
    </row>
    <row r="700">
      <c r="A700" s="0" t="s">
        <v>28</v>
      </c>
      <c r="B700" s="0" t="s">
        <v>30</v>
      </c>
      <c r="C700" s="0" t="s">
        <v>190</v>
      </c>
      <c r="D700" s="0" t="s">
        <v>305</v>
      </c>
      <c r="E700" s="0" t="s">
        <v>154</v>
      </c>
      <c r="F700" s="0" t="s">
        <v>705</v>
      </c>
      <c r="G700" s="0" t="s">
        <v>379</v>
      </c>
      <c r="H700" s="0">
        <v>12</v>
      </c>
      <c r="I700" s="0">
        <v>56</v>
      </c>
      <c r="J700" s="0">
        <v>2782</v>
      </c>
    </row>
    <row r="701">
      <c r="A701" s="0" t="s">
        <v>28</v>
      </c>
      <c r="B701" s="0" t="s">
        <v>30</v>
      </c>
      <c r="C701" s="0" t="s">
        <v>190</v>
      </c>
      <c r="D701" s="0" t="s">
        <v>305</v>
      </c>
      <c r="E701" s="0" t="s">
        <v>154</v>
      </c>
      <c r="F701" s="0" t="s">
        <v>706</v>
      </c>
      <c r="G701" s="0" t="s">
        <v>370</v>
      </c>
      <c r="H701" s="0">
        <v>12</v>
      </c>
      <c r="I701" s="0">
        <v>56</v>
      </c>
      <c r="J701" s="0">
        <v>2782</v>
      </c>
    </row>
    <row r="702">
      <c r="A702" s="0" t="s">
        <v>28</v>
      </c>
      <c r="B702" s="0" t="s">
        <v>30</v>
      </c>
      <c r="C702" s="0" t="s">
        <v>190</v>
      </c>
      <c r="D702" s="0" t="s">
        <v>305</v>
      </c>
      <c r="E702" s="0" t="s">
        <v>154</v>
      </c>
      <c r="F702" s="0" t="s">
        <v>856</v>
      </c>
      <c r="G702" s="0" t="s">
        <v>114</v>
      </c>
      <c r="H702" s="0">
        <v>12</v>
      </c>
      <c r="I702" s="0">
        <v>56</v>
      </c>
      <c r="J702" s="0">
        <v>2782</v>
      </c>
    </row>
    <row r="703">
      <c r="A703" s="0" t="s">
        <v>28</v>
      </c>
      <c r="B703" s="0" t="s">
        <v>30</v>
      </c>
      <c r="C703" s="0" t="s">
        <v>190</v>
      </c>
      <c r="D703" s="0" t="s">
        <v>305</v>
      </c>
      <c r="E703" s="0" t="s">
        <v>154</v>
      </c>
      <c r="F703" s="0" t="s">
        <v>857</v>
      </c>
      <c r="G703" s="0" t="s">
        <v>114</v>
      </c>
      <c r="H703" s="0">
        <v>12</v>
      </c>
      <c r="I703" s="0">
        <v>56</v>
      </c>
      <c r="J703" s="0">
        <v>2782</v>
      </c>
    </row>
    <row r="704">
      <c r="A704" s="0" t="s">
        <v>28</v>
      </c>
      <c r="B704" s="0" t="s">
        <v>30</v>
      </c>
      <c r="C704" s="0" t="s">
        <v>190</v>
      </c>
      <c r="D704" s="0" t="s">
        <v>305</v>
      </c>
      <c r="E704" s="0" t="s">
        <v>154</v>
      </c>
      <c r="F704" s="0" t="s">
        <v>708</v>
      </c>
      <c r="G704" s="0" t="s">
        <v>755</v>
      </c>
      <c r="H704" s="0">
        <v>12</v>
      </c>
      <c r="I704" s="0">
        <v>56</v>
      </c>
      <c r="J704" s="0">
        <v>2782</v>
      </c>
    </row>
    <row r="705">
      <c r="A705" s="0" t="s">
        <v>28</v>
      </c>
      <c r="B705" s="0" t="s">
        <v>30</v>
      </c>
      <c r="C705" s="0" t="s">
        <v>194</v>
      </c>
      <c r="D705" s="0" t="s">
        <v>307</v>
      </c>
      <c r="E705" s="0" t="s">
        <v>154</v>
      </c>
      <c r="F705" s="0" t="s">
        <v>572</v>
      </c>
      <c r="G705" s="0" t="s">
        <v>878</v>
      </c>
      <c r="H705" s="0">
        <v>12</v>
      </c>
      <c r="I705" s="0">
        <v>55</v>
      </c>
      <c r="J705" s="0">
        <v>2103</v>
      </c>
    </row>
    <row r="706">
      <c r="A706" s="0" t="s">
        <v>28</v>
      </c>
      <c r="B706" s="0" t="s">
        <v>30</v>
      </c>
      <c r="C706" s="0" t="s">
        <v>194</v>
      </c>
      <c r="D706" s="0" t="s">
        <v>307</v>
      </c>
      <c r="E706" s="0" t="s">
        <v>154</v>
      </c>
      <c r="F706" s="0" t="s">
        <v>584</v>
      </c>
      <c r="G706" s="0" t="s">
        <v>400</v>
      </c>
      <c r="H706" s="0">
        <v>12</v>
      </c>
      <c r="I706" s="0">
        <v>55</v>
      </c>
      <c r="J706" s="0">
        <v>2103</v>
      </c>
    </row>
    <row r="707">
      <c r="A707" s="0" t="s">
        <v>28</v>
      </c>
      <c r="B707" s="0" t="s">
        <v>30</v>
      </c>
      <c r="C707" s="0" t="s">
        <v>194</v>
      </c>
      <c r="D707" s="0" t="s">
        <v>307</v>
      </c>
      <c r="E707" s="0" t="s">
        <v>154</v>
      </c>
      <c r="F707" s="0" t="s">
        <v>879</v>
      </c>
      <c r="G707" s="0" t="s">
        <v>880</v>
      </c>
      <c r="H707" s="0">
        <v>12</v>
      </c>
      <c r="I707" s="0">
        <v>55</v>
      </c>
      <c r="J707" s="0">
        <v>2103</v>
      </c>
    </row>
    <row r="708">
      <c r="A708" s="0" t="s">
        <v>28</v>
      </c>
      <c r="B708" s="0" t="s">
        <v>30</v>
      </c>
      <c r="C708" s="0" t="s">
        <v>194</v>
      </c>
      <c r="D708" s="0" t="s">
        <v>307</v>
      </c>
      <c r="E708" s="0" t="s">
        <v>154</v>
      </c>
      <c r="F708" s="0" t="s">
        <v>590</v>
      </c>
      <c r="G708" s="0" t="s">
        <v>881</v>
      </c>
      <c r="H708" s="0">
        <v>12</v>
      </c>
      <c r="I708" s="0">
        <v>55</v>
      </c>
      <c r="J708" s="0">
        <v>2103</v>
      </c>
    </row>
    <row r="709">
      <c r="A709" s="0" t="s">
        <v>28</v>
      </c>
      <c r="B709" s="0" t="s">
        <v>30</v>
      </c>
      <c r="C709" s="0" t="s">
        <v>194</v>
      </c>
      <c r="D709" s="0" t="s">
        <v>307</v>
      </c>
      <c r="E709" s="0" t="s">
        <v>154</v>
      </c>
      <c r="F709" s="0" t="s">
        <v>592</v>
      </c>
      <c r="G709" s="0" t="s">
        <v>498</v>
      </c>
      <c r="H709" s="0">
        <v>12</v>
      </c>
      <c r="I709" s="0">
        <v>55</v>
      </c>
      <c r="J709" s="0">
        <v>2103</v>
      </c>
    </row>
    <row r="710">
      <c r="A710" s="0" t="s">
        <v>28</v>
      </c>
      <c r="B710" s="0" t="s">
        <v>30</v>
      </c>
      <c r="C710" s="0" t="s">
        <v>194</v>
      </c>
      <c r="D710" s="0" t="s">
        <v>307</v>
      </c>
      <c r="E710" s="0" t="s">
        <v>154</v>
      </c>
      <c r="F710" s="0" t="s">
        <v>627</v>
      </c>
      <c r="G710" s="0" t="s">
        <v>628</v>
      </c>
      <c r="H710" s="0">
        <v>12</v>
      </c>
      <c r="I710" s="0">
        <v>55</v>
      </c>
      <c r="J710" s="0">
        <v>2103</v>
      </c>
    </row>
    <row r="711">
      <c r="A711" s="0" t="s">
        <v>28</v>
      </c>
      <c r="B711" s="0" t="s">
        <v>30</v>
      </c>
      <c r="C711" s="0" t="s">
        <v>194</v>
      </c>
      <c r="D711" s="0" t="s">
        <v>307</v>
      </c>
      <c r="E711" s="0" t="s">
        <v>154</v>
      </c>
      <c r="F711" s="0" t="s">
        <v>629</v>
      </c>
      <c r="G711" s="0" t="s">
        <v>630</v>
      </c>
      <c r="H711" s="0">
        <v>12</v>
      </c>
      <c r="I711" s="0">
        <v>55</v>
      </c>
      <c r="J711" s="0">
        <v>2103</v>
      </c>
    </row>
    <row r="712">
      <c r="A712" s="0" t="s">
        <v>28</v>
      </c>
      <c r="B712" s="0" t="s">
        <v>30</v>
      </c>
      <c r="C712" s="0" t="s">
        <v>194</v>
      </c>
      <c r="D712" s="0" t="s">
        <v>307</v>
      </c>
      <c r="E712" s="0" t="s">
        <v>154</v>
      </c>
      <c r="F712" s="0" t="s">
        <v>631</v>
      </c>
      <c r="G712" s="0" t="s">
        <v>565</v>
      </c>
      <c r="H712" s="0">
        <v>12</v>
      </c>
      <c r="I712" s="0">
        <v>55</v>
      </c>
      <c r="J712" s="0">
        <v>2103</v>
      </c>
    </row>
    <row r="713">
      <c r="A713" s="0" t="s">
        <v>28</v>
      </c>
      <c r="B713" s="0" t="s">
        <v>30</v>
      </c>
      <c r="C713" s="0" t="s">
        <v>194</v>
      </c>
      <c r="D713" s="0" t="s">
        <v>307</v>
      </c>
      <c r="E713" s="0" t="s">
        <v>154</v>
      </c>
      <c r="F713" s="0" t="s">
        <v>632</v>
      </c>
      <c r="G713" s="0" t="s">
        <v>307</v>
      </c>
      <c r="H713" s="0">
        <v>12</v>
      </c>
      <c r="I713" s="0">
        <v>55</v>
      </c>
      <c r="J713" s="0">
        <v>2103</v>
      </c>
    </row>
    <row r="714">
      <c r="A714" s="0" t="s">
        <v>28</v>
      </c>
      <c r="B714" s="0" t="s">
        <v>30</v>
      </c>
      <c r="C714" s="0" t="s">
        <v>194</v>
      </c>
      <c r="D714" s="0" t="s">
        <v>307</v>
      </c>
      <c r="E714" s="0" t="s">
        <v>154</v>
      </c>
      <c r="F714" s="0" t="s">
        <v>633</v>
      </c>
      <c r="G714" s="0" t="s">
        <v>634</v>
      </c>
      <c r="H714" s="0">
        <v>12</v>
      </c>
      <c r="I714" s="0">
        <v>55</v>
      </c>
      <c r="J714" s="0">
        <v>2103</v>
      </c>
    </row>
    <row r="715">
      <c r="A715" s="0" t="s">
        <v>28</v>
      </c>
      <c r="B715" s="0" t="s">
        <v>30</v>
      </c>
      <c r="C715" s="0" t="s">
        <v>194</v>
      </c>
      <c r="D715" s="0" t="s">
        <v>307</v>
      </c>
      <c r="E715" s="0" t="s">
        <v>154</v>
      </c>
      <c r="F715" s="0" t="s">
        <v>635</v>
      </c>
      <c r="G715" s="0" t="s">
        <v>634</v>
      </c>
      <c r="H715" s="0">
        <v>12</v>
      </c>
      <c r="I715" s="0">
        <v>55</v>
      </c>
      <c r="J715" s="0">
        <v>2103</v>
      </c>
    </row>
    <row r="716">
      <c r="A716" s="0" t="s">
        <v>28</v>
      </c>
      <c r="B716" s="0" t="s">
        <v>30</v>
      </c>
      <c r="C716" s="0" t="s">
        <v>194</v>
      </c>
      <c r="D716" s="0" t="s">
        <v>307</v>
      </c>
      <c r="E716" s="0" t="s">
        <v>154</v>
      </c>
      <c r="F716" s="0" t="s">
        <v>637</v>
      </c>
      <c r="G716" s="0" t="s">
        <v>607</v>
      </c>
      <c r="H716" s="0">
        <v>12</v>
      </c>
      <c r="I716" s="0">
        <v>55</v>
      </c>
      <c r="J716" s="0">
        <v>2103</v>
      </c>
    </row>
    <row r="717">
      <c r="A717" s="0" t="s">
        <v>28</v>
      </c>
      <c r="B717" s="0" t="s">
        <v>30</v>
      </c>
      <c r="C717" s="0" t="s">
        <v>194</v>
      </c>
      <c r="D717" s="0" t="s">
        <v>307</v>
      </c>
      <c r="E717" s="0" t="s">
        <v>154</v>
      </c>
      <c r="F717" s="0" t="s">
        <v>650</v>
      </c>
      <c r="G717" s="0" t="s">
        <v>651</v>
      </c>
      <c r="H717" s="0">
        <v>12</v>
      </c>
      <c r="I717" s="0">
        <v>55</v>
      </c>
      <c r="J717" s="0">
        <v>2103</v>
      </c>
    </row>
    <row r="718">
      <c r="A718" s="0" t="s">
        <v>28</v>
      </c>
      <c r="B718" s="0" t="s">
        <v>30</v>
      </c>
      <c r="C718" s="0" t="s">
        <v>194</v>
      </c>
      <c r="D718" s="0" t="s">
        <v>307</v>
      </c>
      <c r="E718" s="0" t="s">
        <v>154</v>
      </c>
      <c r="F718" s="0" t="s">
        <v>652</v>
      </c>
      <c r="G718" s="0" t="s">
        <v>882</v>
      </c>
      <c r="H718" s="0">
        <v>12</v>
      </c>
      <c r="I718" s="0">
        <v>55</v>
      </c>
      <c r="J718" s="0">
        <v>2103</v>
      </c>
    </row>
    <row r="719">
      <c r="A719" s="0" t="s">
        <v>28</v>
      </c>
      <c r="B719" s="0" t="s">
        <v>30</v>
      </c>
      <c r="C719" s="0" t="s">
        <v>194</v>
      </c>
      <c r="D719" s="0" t="s">
        <v>307</v>
      </c>
      <c r="E719" s="0" t="s">
        <v>154</v>
      </c>
      <c r="F719" s="0" t="s">
        <v>654</v>
      </c>
      <c r="G719" s="0" t="s">
        <v>655</v>
      </c>
      <c r="H719" s="0">
        <v>12</v>
      </c>
      <c r="I719" s="0">
        <v>55</v>
      </c>
      <c r="J719" s="0">
        <v>2103</v>
      </c>
    </row>
    <row r="720">
      <c r="A720" s="0" t="s">
        <v>28</v>
      </c>
      <c r="B720" s="0" t="s">
        <v>30</v>
      </c>
      <c r="C720" s="0" t="s">
        <v>194</v>
      </c>
      <c r="D720" s="0" t="s">
        <v>307</v>
      </c>
      <c r="E720" s="0" t="s">
        <v>154</v>
      </c>
      <c r="F720" s="0" t="s">
        <v>657</v>
      </c>
      <c r="G720" s="0" t="s">
        <v>309</v>
      </c>
      <c r="H720" s="0">
        <v>12</v>
      </c>
      <c r="I720" s="0">
        <v>55</v>
      </c>
      <c r="J720" s="0">
        <v>2103</v>
      </c>
    </row>
    <row r="721">
      <c r="A721" s="0" t="s">
        <v>28</v>
      </c>
      <c r="B721" s="0" t="s">
        <v>30</v>
      </c>
      <c r="C721" s="0" t="s">
        <v>194</v>
      </c>
      <c r="D721" s="0" t="s">
        <v>307</v>
      </c>
      <c r="E721" s="0" t="s">
        <v>154</v>
      </c>
      <c r="F721" s="0" t="s">
        <v>659</v>
      </c>
      <c r="G721" s="0" t="s">
        <v>883</v>
      </c>
      <c r="H721" s="0">
        <v>12</v>
      </c>
      <c r="I721" s="0">
        <v>55</v>
      </c>
      <c r="J721" s="0">
        <v>2103</v>
      </c>
    </row>
    <row r="722">
      <c r="A722" s="0" t="s">
        <v>28</v>
      </c>
      <c r="B722" s="0" t="s">
        <v>30</v>
      </c>
      <c r="C722" s="0" t="s">
        <v>194</v>
      </c>
      <c r="D722" s="0" t="s">
        <v>307</v>
      </c>
      <c r="E722" s="0" t="s">
        <v>154</v>
      </c>
      <c r="F722" s="0" t="s">
        <v>884</v>
      </c>
      <c r="G722" s="0" t="s">
        <v>885</v>
      </c>
      <c r="H722" s="0">
        <v>12</v>
      </c>
      <c r="I722" s="0">
        <v>55</v>
      </c>
      <c r="J722" s="0">
        <v>2103</v>
      </c>
    </row>
    <row r="723">
      <c r="A723" s="0" t="s">
        <v>28</v>
      </c>
      <c r="B723" s="0" t="s">
        <v>30</v>
      </c>
      <c r="C723" s="0" t="s">
        <v>194</v>
      </c>
      <c r="D723" s="0" t="s">
        <v>307</v>
      </c>
      <c r="E723" s="0" t="s">
        <v>154</v>
      </c>
      <c r="F723" s="0" t="s">
        <v>667</v>
      </c>
      <c r="G723" s="0" t="s">
        <v>668</v>
      </c>
      <c r="H723" s="0">
        <v>12</v>
      </c>
      <c r="I723" s="0">
        <v>55</v>
      </c>
      <c r="J723" s="0">
        <v>2103</v>
      </c>
    </row>
    <row r="724">
      <c r="A724" s="0" t="s">
        <v>28</v>
      </c>
      <c r="B724" s="0" t="s">
        <v>30</v>
      </c>
      <c r="C724" s="0" t="s">
        <v>194</v>
      </c>
      <c r="D724" s="0" t="s">
        <v>307</v>
      </c>
      <c r="E724" s="0" t="s">
        <v>154</v>
      </c>
      <c r="F724" s="0" t="s">
        <v>669</v>
      </c>
      <c r="G724" s="0" t="s">
        <v>565</v>
      </c>
      <c r="H724" s="0">
        <v>12</v>
      </c>
      <c r="I724" s="0">
        <v>55</v>
      </c>
      <c r="J724" s="0">
        <v>2103</v>
      </c>
    </row>
    <row r="725">
      <c r="A725" s="0" t="s">
        <v>28</v>
      </c>
      <c r="B725" s="0" t="s">
        <v>30</v>
      </c>
      <c r="C725" s="0" t="s">
        <v>194</v>
      </c>
      <c r="D725" s="0" t="s">
        <v>307</v>
      </c>
      <c r="E725" s="0" t="s">
        <v>154</v>
      </c>
      <c r="F725" s="0" t="s">
        <v>670</v>
      </c>
      <c r="G725" s="0" t="s">
        <v>886</v>
      </c>
      <c r="H725" s="0">
        <v>12</v>
      </c>
      <c r="I725" s="0">
        <v>55</v>
      </c>
      <c r="J725" s="0">
        <v>2103</v>
      </c>
    </row>
    <row r="726">
      <c r="A726" s="0" t="s">
        <v>28</v>
      </c>
      <c r="B726" s="0" t="s">
        <v>30</v>
      </c>
      <c r="C726" s="0" t="s">
        <v>194</v>
      </c>
      <c r="D726" s="0" t="s">
        <v>307</v>
      </c>
      <c r="E726" s="0" t="s">
        <v>154</v>
      </c>
      <c r="F726" s="0" t="s">
        <v>672</v>
      </c>
      <c r="G726" s="0" t="s">
        <v>498</v>
      </c>
      <c r="H726" s="0">
        <v>12</v>
      </c>
      <c r="I726" s="0">
        <v>55</v>
      </c>
      <c r="J726" s="0">
        <v>2103</v>
      </c>
    </row>
    <row r="727">
      <c r="A727" s="0" t="s">
        <v>28</v>
      </c>
      <c r="B727" s="0" t="s">
        <v>30</v>
      </c>
      <c r="C727" s="0" t="s">
        <v>194</v>
      </c>
      <c r="D727" s="0" t="s">
        <v>307</v>
      </c>
      <c r="E727" s="0" t="s">
        <v>154</v>
      </c>
      <c r="F727" s="0" t="s">
        <v>677</v>
      </c>
      <c r="G727" s="0" t="s">
        <v>416</v>
      </c>
      <c r="H727" s="0">
        <v>12</v>
      </c>
      <c r="I727" s="0">
        <v>55</v>
      </c>
      <c r="J727" s="0">
        <v>2103</v>
      </c>
    </row>
    <row r="728">
      <c r="A728" s="0" t="s">
        <v>28</v>
      </c>
      <c r="B728" s="0" t="s">
        <v>30</v>
      </c>
      <c r="C728" s="0" t="s">
        <v>194</v>
      </c>
      <c r="D728" s="0" t="s">
        <v>307</v>
      </c>
      <c r="E728" s="0" t="s">
        <v>154</v>
      </c>
      <c r="F728" s="0" t="s">
        <v>685</v>
      </c>
      <c r="G728" s="0" t="s">
        <v>686</v>
      </c>
      <c r="H728" s="0">
        <v>12</v>
      </c>
      <c r="I728" s="0">
        <v>55</v>
      </c>
      <c r="J728" s="0">
        <v>2103</v>
      </c>
    </row>
    <row r="729">
      <c r="A729" s="0" t="s">
        <v>28</v>
      </c>
      <c r="B729" s="0" t="s">
        <v>30</v>
      </c>
      <c r="C729" s="0" t="s">
        <v>194</v>
      </c>
      <c r="D729" s="0" t="s">
        <v>307</v>
      </c>
      <c r="E729" s="0" t="s">
        <v>154</v>
      </c>
      <c r="F729" s="0" t="s">
        <v>687</v>
      </c>
      <c r="G729" s="0" t="s">
        <v>887</v>
      </c>
      <c r="H729" s="0">
        <v>12</v>
      </c>
      <c r="I729" s="0">
        <v>55</v>
      </c>
      <c r="J729" s="0">
        <v>2103</v>
      </c>
    </row>
    <row r="730">
      <c r="A730" s="0" t="s">
        <v>28</v>
      </c>
      <c r="B730" s="0" t="s">
        <v>30</v>
      </c>
      <c r="C730" s="0" t="s">
        <v>194</v>
      </c>
      <c r="D730" s="0" t="s">
        <v>307</v>
      </c>
      <c r="E730" s="0" t="s">
        <v>154</v>
      </c>
      <c r="F730" s="0" t="s">
        <v>691</v>
      </c>
      <c r="G730" s="0" t="s">
        <v>692</v>
      </c>
      <c r="H730" s="0">
        <v>12</v>
      </c>
      <c r="I730" s="0">
        <v>55</v>
      </c>
      <c r="J730" s="0">
        <v>2103</v>
      </c>
    </row>
    <row r="731">
      <c r="A731" s="0" t="s">
        <v>28</v>
      </c>
      <c r="B731" s="0" t="s">
        <v>30</v>
      </c>
      <c r="C731" s="0" t="s">
        <v>194</v>
      </c>
      <c r="D731" s="0" t="s">
        <v>307</v>
      </c>
      <c r="E731" s="0" t="s">
        <v>154</v>
      </c>
      <c r="F731" s="0" t="s">
        <v>693</v>
      </c>
      <c r="G731" s="0" t="s">
        <v>694</v>
      </c>
      <c r="H731" s="0">
        <v>12</v>
      </c>
      <c r="I731" s="0">
        <v>55</v>
      </c>
      <c r="J731" s="0">
        <v>2103</v>
      </c>
    </row>
    <row r="732">
      <c r="A732" s="0" t="s">
        <v>28</v>
      </c>
      <c r="B732" s="0" t="s">
        <v>30</v>
      </c>
      <c r="C732" s="0" t="s">
        <v>194</v>
      </c>
      <c r="D732" s="0" t="s">
        <v>307</v>
      </c>
      <c r="E732" s="0" t="s">
        <v>154</v>
      </c>
      <c r="F732" s="0" t="s">
        <v>695</v>
      </c>
      <c r="G732" s="0" t="s">
        <v>309</v>
      </c>
      <c r="H732" s="0">
        <v>12</v>
      </c>
      <c r="I732" s="0">
        <v>55</v>
      </c>
      <c r="J732" s="0">
        <v>2103</v>
      </c>
    </row>
    <row r="733">
      <c r="A733" s="0" t="s">
        <v>28</v>
      </c>
      <c r="B733" s="0" t="s">
        <v>30</v>
      </c>
      <c r="C733" s="0" t="s">
        <v>194</v>
      </c>
      <c r="D733" s="0" t="s">
        <v>307</v>
      </c>
      <c r="E733" s="0" t="s">
        <v>154</v>
      </c>
      <c r="F733" s="0" t="s">
        <v>703</v>
      </c>
      <c r="G733" s="0" t="s">
        <v>888</v>
      </c>
      <c r="H733" s="0">
        <v>12</v>
      </c>
      <c r="I733" s="0">
        <v>55</v>
      </c>
      <c r="J733" s="0">
        <v>2103</v>
      </c>
    </row>
    <row r="734">
      <c r="A734" s="0" t="s">
        <v>28</v>
      </c>
      <c r="B734" s="0" t="s">
        <v>30</v>
      </c>
      <c r="C734" s="0" t="s">
        <v>194</v>
      </c>
      <c r="D734" s="0" t="s">
        <v>307</v>
      </c>
      <c r="E734" s="0" t="s">
        <v>154</v>
      </c>
      <c r="F734" s="0" t="s">
        <v>889</v>
      </c>
      <c r="G734" s="0" t="s">
        <v>890</v>
      </c>
      <c r="H734" s="0">
        <v>12</v>
      </c>
      <c r="I734" s="0">
        <v>55</v>
      </c>
      <c r="J734" s="0">
        <v>2103</v>
      </c>
    </row>
    <row r="735">
      <c r="A735" s="0" t="s">
        <v>28</v>
      </c>
      <c r="B735" s="0" t="s">
        <v>30</v>
      </c>
      <c r="C735" s="0" t="s">
        <v>194</v>
      </c>
      <c r="D735" s="0" t="s">
        <v>307</v>
      </c>
      <c r="E735" s="0" t="s">
        <v>154</v>
      </c>
      <c r="F735" s="0" t="s">
        <v>708</v>
      </c>
      <c r="G735" s="0" t="s">
        <v>755</v>
      </c>
      <c r="H735" s="0">
        <v>12</v>
      </c>
      <c r="I735" s="0">
        <v>55</v>
      </c>
      <c r="J735" s="0">
        <v>2103</v>
      </c>
    </row>
    <row r="736">
      <c r="A736" s="0" t="s">
        <v>28</v>
      </c>
      <c r="B736" s="0" t="s">
        <v>30</v>
      </c>
      <c r="C736" s="0" t="s">
        <v>196</v>
      </c>
      <c r="D736" s="0" t="s">
        <v>311</v>
      </c>
      <c r="E736" s="0" t="s">
        <v>154</v>
      </c>
      <c r="F736" s="0" t="s">
        <v>572</v>
      </c>
      <c r="G736" s="0" t="s">
        <v>891</v>
      </c>
      <c r="H736" s="0">
        <v>12</v>
      </c>
      <c r="I736" s="0">
        <v>47</v>
      </c>
      <c r="J736" s="0">
        <v>2079</v>
      </c>
    </row>
    <row r="737">
      <c r="A737" s="0" t="s">
        <v>28</v>
      </c>
      <c r="B737" s="0" t="s">
        <v>30</v>
      </c>
      <c r="C737" s="0" t="s">
        <v>196</v>
      </c>
      <c r="D737" s="0" t="s">
        <v>311</v>
      </c>
      <c r="E737" s="0" t="s">
        <v>154</v>
      </c>
      <c r="F737" s="0" t="s">
        <v>892</v>
      </c>
      <c r="G737" s="0" t="s">
        <v>893</v>
      </c>
      <c r="H737" s="0">
        <v>12</v>
      </c>
      <c r="I737" s="0">
        <v>47</v>
      </c>
      <c r="J737" s="0">
        <v>2079</v>
      </c>
    </row>
    <row r="738">
      <c r="A738" s="0" t="s">
        <v>28</v>
      </c>
      <c r="B738" s="0" t="s">
        <v>30</v>
      </c>
      <c r="C738" s="0" t="s">
        <v>196</v>
      </c>
      <c r="D738" s="0" t="s">
        <v>311</v>
      </c>
      <c r="E738" s="0" t="s">
        <v>154</v>
      </c>
      <c r="F738" s="0" t="s">
        <v>631</v>
      </c>
      <c r="G738" s="0" t="s">
        <v>569</v>
      </c>
      <c r="H738" s="0">
        <v>12</v>
      </c>
      <c r="I738" s="0">
        <v>47</v>
      </c>
      <c r="J738" s="0">
        <v>2079</v>
      </c>
    </row>
    <row r="739">
      <c r="A739" s="0" t="s">
        <v>28</v>
      </c>
      <c r="B739" s="0" t="s">
        <v>30</v>
      </c>
      <c r="C739" s="0" t="s">
        <v>196</v>
      </c>
      <c r="D739" s="0" t="s">
        <v>311</v>
      </c>
      <c r="E739" s="0" t="s">
        <v>154</v>
      </c>
      <c r="F739" s="0" t="s">
        <v>894</v>
      </c>
      <c r="G739" s="0" t="s">
        <v>895</v>
      </c>
      <c r="H739" s="0">
        <v>12</v>
      </c>
      <c r="I739" s="0">
        <v>47</v>
      </c>
      <c r="J739" s="0">
        <v>2079</v>
      </c>
    </row>
    <row r="740">
      <c r="A740" s="0" t="s">
        <v>28</v>
      </c>
      <c r="B740" s="0" t="s">
        <v>30</v>
      </c>
      <c r="C740" s="0" t="s">
        <v>196</v>
      </c>
      <c r="D740" s="0" t="s">
        <v>311</v>
      </c>
      <c r="E740" s="0" t="s">
        <v>154</v>
      </c>
      <c r="F740" s="0" t="s">
        <v>896</v>
      </c>
      <c r="G740" s="0" t="s">
        <v>897</v>
      </c>
      <c r="H740" s="0">
        <v>12</v>
      </c>
      <c r="I740" s="0">
        <v>47</v>
      </c>
      <c r="J740" s="0">
        <v>2079</v>
      </c>
    </row>
    <row r="741">
      <c r="A741" s="0" t="s">
        <v>28</v>
      </c>
      <c r="B741" s="0" t="s">
        <v>30</v>
      </c>
      <c r="C741" s="0" t="s">
        <v>196</v>
      </c>
      <c r="D741" s="0" t="s">
        <v>311</v>
      </c>
      <c r="E741" s="0" t="s">
        <v>154</v>
      </c>
      <c r="F741" s="0" t="s">
        <v>650</v>
      </c>
      <c r="G741" s="0" t="s">
        <v>651</v>
      </c>
      <c r="H741" s="0">
        <v>12</v>
      </c>
      <c r="I741" s="0">
        <v>47</v>
      </c>
      <c r="J741" s="0">
        <v>2079</v>
      </c>
    </row>
    <row r="742">
      <c r="A742" s="0" t="s">
        <v>28</v>
      </c>
      <c r="B742" s="0" t="s">
        <v>30</v>
      </c>
      <c r="C742" s="0" t="s">
        <v>196</v>
      </c>
      <c r="D742" s="0" t="s">
        <v>311</v>
      </c>
      <c r="E742" s="0" t="s">
        <v>154</v>
      </c>
      <c r="F742" s="0" t="s">
        <v>657</v>
      </c>
      <c r="G742" s="0" t="s">
        <v>315</v>
      </c>
      <c r="H742" s="0">
        <v>12</v>
      </c>
      <c r="I742" s="0">
        <v>47</v>
      </c>
      <c r="J742" s="0">
        <v>2079</v>
      </c>
    </row>
    <row r="743">
      <c r="A743" s="0" t="s">
        <v>28</v>
      </c>
      <c r="B743" s="0" t="s">
        <v>30</v>
      </c>
      <c r="C743" s="0" t="s">
        <v>196</v>
      </c>
      <c r="D743" s="0" t="s">
        <v>311</v>
      </c>
      <c r="E743" s="0" t="s">
        <v>154</v>
      </c>
      <c r="F743" s="0" t="s">
        <v>670</v>
      </c>
      <c r="G743" s="0" t="s">
        <v>898</v>
      </c>
      <c r="H743" s="0">
        <v>12</v>
      </c>
      <c r="I743" s="0">
        <v>47</v>
      </c>
      <c r="J743" s="0">
        <v>2079</v>
      </c>
    </row>
    <row r="744">
      <c r="A744" s="0" t="s">
        <v>28</v>
      </c>
      <c r="B744" s="0" t="s">
        <v>30</v>
      </c>
      <c r="C744" s="0" t="s">
        <v>196</v>
      </c>
      <c r="D744" s="0" t="s">
        <v>311</v>
      </c>
      <c r="E744" s="0" t="s">
        <v>154</v>
      </c>
      <c r="F744" s="0" t="s">
        <v>677</v>
      </c>
      <c r="G744" s="0" t="s">
        <v>454</v>
      </c>
      <c r="H744" s="0">
        <v>12</v>
      </c>
      <c r="I744" s="0">
        <v>47</v>
      </c>
      <c r="J744" s="0">
        <v>2079</v>
      </c>
    </row>
    <row r="745">
      <c r="A745" s="0" t="s">
        <v>28</v>
      </c>
      <c r="B745" s="0" t="s">
        <v>30</v>
      </c>
      <c r="C745" s="0" t="s">
        <v>196</v>
      </c>
      <c r="D745" s="0" t="s">
        <v>311</v>
      </c>
      <c r="E745" s="0" t="s">
        <v>154</v>
      </c>
      <c r="F745" s="0" t="s">
        <v>685</v>
      </c>
      <c r="G745" s="0" t="s">
        <v>899</v>
      </c>
      <c r="H745" s="0">
        <v>12</v>
      </c>
      <c r="I745" s="0">
        <v>47</v>
      </c>
      <c r="J745" s="0">
        <v>2079</v>
      </c>
    </row>
    <row r="746">
      <c r="A746" s="0" t="s">
        <v>28</v>
      </c>
      <c r="B746" s="0" t="s">
        <v>30</v>
      </c>
      <c r="C746" s="0" t="s">
        <v>196</v>
      </c>
      <c r="D746" s="0" t="s">
        <v>311</v>
      </c>
      <c r="E746" s="0" t="s">
        <v>154</v>
      </c>
      <c r="F746" s="0" t="s">
        <v>687</v>
      </c>
      <c r="G746" s="0" t="s">
        <v>755</v>
      </c>
      <c r="H746" s="0">
        <v>12</v>
      </c>
      <c r="I746" s="0">
        <v>47</v>
      </c>
      <c r="J746" s="0">
        <v>2079</v>
      </c>
    </row>
    <row r="747">
      <c r="A747" s="0" t="s">
        <v>28</v>
      </c>
      <c r="B747" s="0" t="s">
        <v>30</v>
      </c>
      <c r="C747" s="0" t="s">
        <v>196</v>
      </c>
      <c r="D747" s="0" t="s">
        <v>311</v>
      </c>
      <c r="E747" s="0" t="s">
        <v>154</v>
      </c>
      <c r="F747" s="0" t="s">
        <v>695</v>
      </c>
      <c r="G747" s="0" t="s">
        <v>315</v>
      </c>
      <c r="H747" s="0">
        <v>12</v>
      </c>
      <c r="I747" s="0">
        <v>47</v>
      </c>
      <c r="J747" s="0">
        <v>2079</v>
      </c>
    </row>
    <row r="748">
      <c r="A748" s="0" t="s">
        <v>28</v>
      </c>
      <c r="B748" s="0" t="s">
        <v>30</v>
      </c>
      <c r="C748" s="0" t="s">
        <v>196</v>
      </c>
      <c r="D748" s="0" t="s">
        <v>317</v>
      </c>
      <c r="E748" s="0" t="s">
        <v>154</v>
      </c>
      <c r="F748" s="0" t="s">
        <v>572</v>
      </c>
      <c r="G748" s="0" t="s">
        <v>891</v>
      </c>
      <c r="H748" s="0">
        <v>12</v>
      </c>
      <c r="I748" s="0">
        <v>47</v>
      </c>
      <c r="J748" s="0">
        <v>2080</v>
      </c>
    </row>
    <row r="749">
      <c r="A749" s="0" t="s">
        <v>28</v>
      </c>
      <c r="B749" s="0" t="s">
        <v>30</v>
      </c>
      <c r="C749" s="0" t="s">
        <v>196</v>
      </c>
      <c r="D749" s="0" t="s">
        <v>317</v>
      </c>
      <c r="E749" s="0" t="s">
        <v>154</v>
      </c>
      <c r="F749" s="0" t="s">
        <v>892</v>
      </c>
      <c r="G749" s="0" t="s">
        <v>893</v>
      </c>
      <c r="H749" s="0">
        <v>12</v>
      </c>
      <c r="I749" s="0">
        <v>47</v>
      </c>
      <c r="J749" s="0">
        <v>2080</v>
      </c>
    </row>
    <row r="750">
      <c r="A750" s="0" t="s">
        <v>28</v>
      </c>
      <c r="B750" s="0" t="s">
        <v>30</v>
      </c>
      <c r="C750" s="0" t="s">
        <v>196</v>
      </c>
      <c r="D750" s="0" t="s">
        <v>317</v>
      </c>
      <c r="E750" s="0" t="s">
        <v>154</v>
      </c>
      <c r="F750" s="0" t="s">
        <v>631</v>
      </c>
      <c r="G750" s="0" t="s">
        <v>569</v>
      </c>
      <c r="H750" s="0">
        <v>12</v>
      </c>
      <c r="I750" s="0">
        <v>47</v>
      </c>
      <c r="J750" s="0">
        <v>2080</v>
      </c>
    </row>
    <row r="751">
      <c r="A751" s="0" t="s">
        <v>28</v>
      </c>
      <c r="B751" s="0" t="s">
        <v>30</v>
      </c>
      <c r="C751" s="0" t="s">
        <v>196</v>
      </c>
      <c r="D751" s="0" t="s">
        <v>317</v>
      </c>
      <c r="E751" s="0" t="s">
        <v>154</v>
      </c>
      <c r="F751" s="0" t="s">
        <v>894</v>
      </c>
      <c r="G751" s="0" t="s">
        <v>900</v>
      </c>
      <c r="H751" s="0">
        <v>12</v>
      </c>
      <c r="I751" s="0">
        <v>47</v>
      </c>
      <c r="J751" s="0">
        <v>2080</v>
      </c>
    </row>
    <row r="752">
      <c r="A752" s="0" t="s">
        <v>28</v>
      </c>
      <c r="B752" s="0" t="s">
        <v>30</v>
      </c>
      <c r="C752" s="0" t="s">
        <v>196</v>
      </c>
      <c r="D752" s="0" t="s">
        <v>317</v>
      </c>
      <c r="E752" s="0" t="s">
        <v>154</v>
      </c>
      <c r="F752" s="0" t="s">
        <v>896</v>
      </c>
      <c r="G752" s="0" t="s">
        <v>897</v>
      </c>
      <c r="H752" s="0">
        <v>12</v>
      </c>
      <c r="I752" s="0">
        <v>47</v>
      </c>
      <c r="J752" s="0">
        <v>2080</v>
      </c>
    </row>
    <row r="753">
      <c r="A753" s="0" t="s">
        <v>28</v>
      </c>
      <c r="B753" s="0" t="s">
        <v>30</v>
      </c>
      <c r="C753" s="0" t="s">
        <v>196</v>
      </c>
      <c r="D753" s="0" t="s">
        <v>317</v>
      </c>
      <c r="E753" s="0" t="s">
        <v>154</v>
      </c>
      <c r="F753" s="0" t="s">
        <v>650</v>
      </c>
      <c r="G753" s="0" t="s">
        <v>651</v>
      </c>
      <c r="H753" s="0">
        <v>12</v>
      </c>
      <c r="I753" s="0">
        <v>47</v>
      </c>
      <c r="J753" s="0">
        <v>2080</v>
      </c>
    </row>
    <row r="754">
      <c r="A754" s="0" t="s">
        <v>28</v>
      </c>
      <c r="B754" s="0" t="s">
        <v>30</v>
      </c>
      <c r="C754" s="0" t="s">
        <v>196</v>
      </c>
      <c r="D754" s="0" t="s">
        <v>317</v>
      </c>
      <c r="E754" s="0" t="s">
        <v>154</v>
      </c>
      <c r="F754" s="0" t="s">
        <v>657</v>
      </c>
      <c r="G754" s="0" t="s">
        <v>315</v>
      </c>
      <c r="H754" s="0">
        <v>12</v>
      </c>
      <c r="I754" s="0">
        <v>47</v>
      </c>
      <c r="J754" s="0">
        <v>2080</v>
      </c>
    </row>
    <row r="755">
      <c r="A755" s="0" t="s">
        <v>28</v>
      </c>
      <c r="B755" s="0" t="s">
        <v>30</v>
      </c>
      <c r="C755" s="0" t="s">
        <v>196</v>
      </c>
      <c r="D755" s="0" t="s">
        <v>317</v>
      </c>
      <c r="E755" s="0" t="s">
        <v>154</v>
      </c>
      <c r="F755" s="0" t="s">
        <v>670</v>
      </c>
      <c r="G755" s="0" t="s">
        <v>898</v>
      </c>
      <c r="H755" s="0">
        <v>12</v>
      </c>
      <c r="I755" s="0">
        <v>47</v>
      </c>
      <c r="J755" s="0">
        <v>2080</v>
      </c>
    </row>
    <row r="756">
      <c r="A756" s="0" t="s">
        <v>28</v>
      </c>
      <c r="B756" s="0" t="s">
        <v>30</v>
      </c>
      <c r="C756" s="0" t="s">
        <v>196</v>
      </c>
      <c r="D756" s="0" t="s">
        <v>317</v>
      </c>
      <c r="E756" s="0" t="s">
        <v>154</v>
      </c>
      <c r="F756" s="0" t="s">
        <v>677</v>
      </c>
      <c r="G756" s="0" t="s">
        <v>454</v>
      </c>
      <c r="H756" s="0">
        <v>12</v>
      </c>
      <c r="I756" s="0">
        <v>47</v>
      </c>
      <c r="J756" s="0">
        <v>2080</v>
      </c>
    </row>
    <row r="757">
      <c r="A757" s="0" t="s">
        <v>28</v>
      </c>
      <c r="B757" s="0" t="s">
        <v>30</v>
      </c>
      <c r="C757" s="0" t="s">
        <v>196</v>
      </c>
      <c r="D757" s="0" t="s">
        <v>317</v>
      </c>
      <c r="E757" s="0" t="s">
        <v>154</v>
      </c>
      <c r="F757" s="0" t="s">
        <v>685</v>
      </c>
      <c r="G757" s="0" t="s">
        <v>899</v>
      </c>
      <c r="H757" s="0">
        <v>12</v>
      </c>
      <c r="I757" s="0">
        <v>47</v>
      </c>
      <c r="J757" s="0">
        <v>2080</v>
      </c>
    </row>
    <row r="758">
      <c r="A758" s="0" t="s">
        <v>28</v>
      </c>
      <c r="B758" s="0" t="s">
        <v>30</v>
      </c>
      <c r="C758" s="0" t="s">
        <v>196</v>
      </c>
      <c r="D758" s="0" t="s">
        <v>317</v>
      </c>
      <c r="E758" s="0" t="s">
        <v>154</v>
      </c>
      <c r="F758" s="0" t="s">
        <v>687</v>
      </c>
      <c r="G758" s="0" t="s">
        <v>755</v>
      </c>
      <c r="H758" s="0">
        <v>12</v>
      </c>
      <c r="I758" s="0">
        <v>47</v>
      </c>
      <c r="J758" s="0">
        <v>2080</v>
      </c>
    </row>
    <row r="759">
      <c r="A759" s="0" t="s">
        <v>28</v>
      </c>
      <c r="B759" s="0" t="s">
        <v>30</v>
      </c>
      <c r="C759" s="0" t="s">
        <v>196</v>
      </c>
      <c r="D759" s="0" t="s">
        <v>317</v>
      </c>
      <c r="E759" s="0" t="s">
        <v>154</v>
      </c>
      <c r="F759" s="0" t="s">
        <v>695</v>
      </c>
      <c r="G759" s="0" t="s">
        <v>315</v>
      </c>
      <c r="H759" s="0">
        <v>12</v>
      </c>
      <c r="I759" s="0">
        <v>47</v>
      </c>
      <c r="J759" s="0">
        <v>2080</v>
      </c>
    </row>
    <row r="760">
      <c r="A760" s="0" t="s">
        <v>28</v>
      </c>
      <c r="B760" s="0" t="s">
        <v>30</v>
      </c>
      <c r="C760" s="0" t="s">
        <v>196</v>
      </c>
      <c r="D760" s="0" t="s">
        <v>320</v>
      </c>
      <c r="E760" s="0" t="s">
        <v>154</v>
      </c>
      <c r="F760" s="0" t="s">
        <v>572</v>
      </c>
      <c r="G760" s="0" t="s">
        <v>891</v>
      </c>
      <c r="H760" s="0">
        <v>12</v>
      </c>
      <c r="I760" s="0">
        <v>47</v>
      </c>
      <c r="J760" s="0">
        <v>2792</v>
      </c>
    </row>
    <row r="761">
      <c r="A761" s="0" t="s">
        <v>28</v>
      </c>
      <c r="B761" s="0" t="s">
        <v>30</v>
      </c>
      <c r="C761" s="0" t="s">
        <v>196</v>
      </c>
      <c r="D761" s="0" t="s">
        <v>320</v>
      </c>
      <c r="E761" s="0" t="s">
        <v>154</v>
      </c>
      <c r="F761" s="0" t="s">
        <v>892</v>
      </c>
      <c r="G761" s="0" t="s">
        <v>893</v>
      </c>
      <c r="H761" s="0">
        <v>12</v>
      </c>
      <c r="I761" s="0">
        <v>47</v>
      </c>
      <c r="J761" s="0">
        <v>2792</v>
      </c>
    </row>
    <row r="762">
      <c r="A762" s="0" t="s">
        <v>28</v>
      </c>
      <c r="B762" s="0" t="s">
        <v>30</v>
      </c>
      <c r="C762" s="0" t="s">
        <v>196</v>
      </c>
      <c r="D762" s="0" t="s">
        <v>320</v>
      </c>
      <c r="E762" s="0" t="s">
        <v>154</v>
      </c>
      <c r="F762" s="0" t="s">
        <v>631</v>
      </c>
      <c r="G762" s="0" t="s">
        <v>569</v>
      </c>
      <c r="H762" s="0">
        <v>12</v>
      </c>
      <c r="I762" s="0">
        <v>47</v>
      </c>
      <c r="J762" s="0">
        <v>2792</v>
      </c>
    </row>
    <row r="763">
      <c r="A763" s="0" t="s">
        <v>28</v>
      </c>
      <c r="B763" s="0" t="s">
        <v>30</v>
      </c>
      <c r="C763" s="0" t="s">
        <v>196</v>
      </c>
      <c r="D763" s="0" t="s">
        <v>320</v>
      </c>
      <c r="E763" s="0" t="s">
        <v>154</v>
      </c>
      <c r="F763" s="0" t="s">
        <v>894</v>
      </c>
      <c r="G763" s="0" t="s">
        <v>901</v>
      </c>
      <c r="H763" s="0">
        <v>12</v>
      </c>
      <c r="I763" s="0">
        <v>47</v>
      </c>
      <c r="J763" s="0">
        <v>2792</v>
      </c>
    </row>
    <row r="764">
      <c r="A764" s="0" t="s">
        <v>28</v>
      </c>
      <c r="B764" s="0" t="s">
        <v>30</v>
      </c>
      <c r="C764" s="0" t="s">
        <v>196</v>
      </c>
      <c r="D764" s="0" t="s">
        <v>320</v>
      </c>
      <c r="E764" s="0" t="s">
        <v>154</v>
      </c>
      <c r="F764" s="0" t="s">
        <v>896</v>
      </c>
      <c r="G764" s="0" t="s">
        <v>897</v>
      </c>
      <c r="H764" s="0">
        <v>12</v>
      </c>
      <c r="I764" s="0">
        <v>47</v>
      </c>
      <c r="J764" s="0">
        <v>2792</v>
      </c>
    </row>
    <row r="765">
      <c r="A765" s="0" t="s">
        <v>28</v>
      </c>
      <c r="B765" s="0" t="s">
        <v>30</v>
      </c>
      <c r="C765" s="0" t="s">
        <v>196</v>
      </c>
      <c r="D765" s="0" t="s">
        <v>320</v>
      </c>
      <c r="E765" s="0" t="s">
        <v>154</v>
      </c>
      <c r="F765" s="0" t="s">
        <v>650</v>
      </c>
      <c r="G765" s="0" t="s">
        <v>651</v>
      </c>
      <c r="H765" s="0">
        <v>12</v>
      </c>
      <c r="I765" s="0">
        <v>47</v>
      </c>
      <c r="J765" s="0">
        <v>2792</v>
      </c>
    </row>
    <row r="766">
      <c r="A766" s="0" t="s">
        <v>28</v>
      </c>
      <c r="B766" s="0" t="s">
        <v>30</v>
      </c>
      <c r="C766" s="0" t="s">
        <v>196</v>
      </c>
      <c r="D766" s="0" t="s">
        <v>320</v>
      </c>
      <c r="E766" s="0" t="s">
        <v>154</v>
      </c>
      <c r="F766" s="0" t="s">
        <v>657</v>
      </c>
      <c r="G766" s="0" t="s">
        <v>315</v>
      </c>
      <c r="H766" s="0">
        <v>12</v>
      </c>
      <c r="I766" s="0">
        <v>47</v>
      </c>
      <c r="J766" s="0">
        <v>2792</v>
      </c>
    </row>
    <row r="767">
      <c r="A767" s="0" t="s">
        <v>28</v>
      </c>
      <c r="B767" s="0" t="s">
        <v>30</v>
      </c>
      <c r="C767" s="0" t="s">
        <v>196</v>
      </c>
      <c r="D767" s="0" t="s">
        <v>320</v>
      </c>
      <c r="E767" s="0" t="s">
        <v>154</v>
      </c>
      <c r="F767" s="0" t="s">
        <v>670</v>
      </c>
      <c r="G767" s="0" t="s">
        <v>898</v>
      </c>
      <c r="H767" s="0">
        <v>12</v>
      </c>
      <c r="I767" s="0">
        <v>47</v>
      </c>
      <c r="J767" s="0">
        <v>2792</v>
      </c>
    </row>
    <row r="768">
      <c r="A768" s="0" t="s">
        <v>28</v>
      </c>
      <c r="B768" s="0" t="s">
        <v>30</v>
      </c>
      <c r="C768" s="0" t="s">
        <v>196</v>
      </c>
      <c r="D768" s="0" t="s">
        <v>320</v>
      </c>
      <c r="E768" s="0" t="s">
        <v>154</v>
      </c>
      <c r="F768" s="0" t="s">
        <v>677</v>
      </c>
      <c r="G768" s="0" t="s">
        <v>454</v>
      </c>
      <c r="H768" s="0">
        <v>12</v>
      </c>
      <c r="I768" s="0">
        <v>47</v>
      </c>
      <c r="J768" s="0">
        <v>2792</v>
      </c>
    </row>
    <row r="769">
      <c r="A769" s="0" t="s">
        <v>28</v>
      </c>
      <c r="B769" s="0" t="s">
        <v>30</v>
      </c>
      <c r="C769" s="0" t="s">
        <v>196</v>
      </c>
      <c r="D769" s="0" t="s">
        <v>320</v>
      </c>
      <c r="E769" s="0" t="s">
        <v>154</v>
      </c>
      <c r="F769" s="0" t="s">
        <v>685</v>
      </c>
      <c r="G769" s="0" t="s">
        <v>899</v>
      </c>
      <c r="H769" s="0">
        <v>12</v>
      </c>
      <c r="I769" s="0">
        <v>47</v>
      </c>
      <c r="J769" s="0">
        <v>2792</v>
      </c>
    </row>
    <row r="770">
      <c r="A770" s="0" t="s">
        <v>28</v>
      </c>
      <c r="B770" s="0" t="s">
        <v>30</v>
      </c>
      <c r="C770" s="0" t="s">
        <v>196</v>
      </c>
      <c r="D770" s="0" t="s">
        <v>320</v>
      </c>
      <c r="E770" s="0" t="s">
        <v>154</v>
      </c>
      <c r="F770" s="0" t="s">
        <v>687</v>
      </c>
      <c r="G770" s="0" t="s">
        <v>755</v>
      </c>
      <c r="H770" s="0">
        <v>12</v>
      </c>
      <c r="I770" s="0">
        <v>47</v>
      </c>
      <c r="J770" s="0">
        <v>2792</v>
      </c>
    </row>
    <row r="771">
      <c r="A771" s="0" t="s">
        <v>28</v>
      </c>
      <c r="B771" s="0" t="s">
        <v>30</v>
      </c>
      <c r="C771" s="0" t="s">
        <v>196</v>
      </c>
      <c r="D771" s="0" t="s">
        <v>320</v>
      </c>
      <c r="E771" s="0" t="s">
        <v>154</v>
      </c>
      <c r="F771" s="0" t="s">
        <v>695</v>
      </c>
      <c r="G771" s="0" t="s">
        <v>315</v>
      </c>
      <c r="H771" s="0">
        <v>12</v>
      </c>
      <c r="I771" s="0">
        <v>47</v>
      </c>
      <c r="J771" s="0">
        <v>2792</v>
      </c>
    </row>
  </sheetData>
  <headerFooter/>
  <tableParts>
    <tablePart r:id="rId1"/>
  </tableParts>
</worksheet>
</file>

<file path=xl/worksheets/sheet21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Env Variables'!A1", "&lt;Go&gt;")</f>
      </c>
    </row>
  </sheetData>
  <headerFooter/>
</worksheet>
</file>

<file path=xl/worksheets/sheet22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  <col min="6" max="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=HYPERLINK("#'8.Node Env Variables'!A1", "&lt;Go&gt;")</f>
      </c>
    </row>
  </sheetData>
  <headerFooter/>
</worksheet>
</file>

<file path=xl/worksheets/sheet23.xml><?xml version="1.0" encoding="utf-8"?>
<worksheet xmlns:r="http://schemas.openxmlformats.org/officeDocument/2006/relationships" xmlns="http://schemas.openxmlformats.org/spreadsheetml/2006/main">
  <dimension ref="A1:AE10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5" customWidth="1"/>
    <col min="3" max="3" width="20" customWidth="1"/>
    <col min="4" max="4" width="10" customWidth="1"/>
    <col min="6" max="6" width="20" customWidth="1"/>
    <col min="8" max="8" width="25" customWidth="1"/>
    <col min="9" max="9" width="20" customWidth="1"/>
    <col min="10" max="10" width="25" customWidth="1"/>
    <col min="11" max="11" width="20" customWidth="1"/>
    <col min="12" max="12" width="25" customWidth="1"/>
    <col min="13" max="13" width="20" customWidth="1"/>
    <col min="14" max="14" width="25" customWidth="1"/>
    <col min="15" max="15" width="20" customWidth="1"/>
    <col min="16" max="16" width="25" customWidth="1"/>
    <col min="17" max="17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902</v>
      </c>
      <c r="B2" s="1">
        <f>=HYPERLINK("#'9.Backends.Type'!A1", "&lt;Go&gt;")</f>
      </c>
    </row>
    <row r="3">
      <c r="A3" s="0" t="s">
        <v>903</v>
      </c>
      <c r="B3" s="1">
        <f>=HYPERLINK("#'9.Backends.Location'!A1", "&lt;Go&gt;")</f>
      </c>
    </row>
    <row r="4">
      <c r="A4" s="0" t="s">
        <v>23</v>
      </c>
      <c r="B4" s="0" t="s">
        <v>102</v>
      </c>
      <c r="C4" s="0" t="s">
        <v>904</v>
      </c>
      <c r="D4" s="0" t="s">
        <v>905</v>
      </c>
      <c r="E4" s="0" t="s">
        <v>906</v>
      </c>
      <c r="F4" s="0" t="s">
        <v>907</v>
      </c>
      <c r="G4" s="0" t="s">
        <v>908</v>
      </c>
      <c r="H4" s="0" t="s">
        <v>909</v>
      </c>
      <c r="I4" s="0" t="s">
        <v>910</v>
      </c>
      <c r="J4" s="0" t="s">
        <v>911</v>
      </c>
      <c r="K4" s="0" t="s">
        <v>912</v>
      </c>
      <c r="L4" s="0" t="s">
        <v>913</v>
      </c>
      <c r="M4" s="0" t="s">
        <v>914</v>
      </c>
      <c r="N4" s="0" t="s">
        <v>915</v>
      </c>
      <c r="O4" s="0" t="s">
        <v>916</v>
      </c>
      <c r="P4" s="0" t="s">
        <v>917</v>
      </c>
      <c r="Q4" s="0" t="s">
        <v>918</v>
      </c>
      <c r="R4" s="0" t="s">
        <v>919</v>
      </c>
      <c r="S4" s="0" t="s">
        <v>920</v>
      </c>
      <c r="T4" s="0" t="s">
        <v>921</v>
      </c>
      <c r="U4" s="0" t="s">
        <v>922</v>
      </c>
      <c r="V4" s="0" t="s">
        <v>923</v>
      </c>
      <c r="W4" s="0" t="s">
        <v>924</v>
      </c>
      <c r="X4" s="0" t="s">
        <v>26</v>
      </c>
      <c r="Y4" s="0" t="s">
        <v>925</v>
      </c>
      <c r="Z4" s="0" t="s">
        <v>926</v>
      </c>
      <c r="AA4" s="0" t="s">
        <v>141</v>
      </c>
      <c r="AB4" s="0" t="s">
        <v>140</v>
      </c>
      <c r="AC4" s="0" t="s">
        <v>98</v>
      </c>
      <c r="AD4" s="0" t="s">
        <v>144</v>
      </c>
      <c r="AE4" s="0" t="s">
        <v>927</v>
      </c>
    </row>
    <row r="5">
      <c r="A5" s="0" t="s">
        <v>28</v>
      </c>
      <c r="B5" s="0" t="s">
        <v>30</v>
      </c>
      <c r="C5" s="0" t="s">
        <v>928</v>
      </c>
      <c r="D5" s="0" t="s">
        <v>929</v>
      </c>
      <c r="E5" s="0" t="b">
        <v>0</v>
      </c>
      <c r="F5" s="0" t="s">
        <v>114</v>
      </c>
      <c r="G5" s="0">
        <v>6</v>
      </c>
      <c r="H5" s="0" t="s">
        <v>930</v>
      </c>
      <c r="I5" s="0" t="s">
        <v>931</v>
      </c>
      <c r="J5" s="0" t="s">
        <v>932</v>
      </c>
      <c r="K5" s="0" t="s">
        <v>933</v>
      </c>
      <c r="L5" s="0" t="s">
        <v>934</v>
      </c>
      <c r="M5" s="0" t="s">
        <v>935</v>
      </c>
      <c r="N5" s="0" t="s">
        <v>936</v>
      </c>
      <c r="O5" s="0" t="s">
        <v>937</v>
      </c>
      <c r="P5" s="0" t="s">
        <v>938</v>
      </c>
      <c r="Q5" s="0" t="s">
        <v>939</v>
      </c>
      <c r="R5" s="0" t="s">
        <v>940</v>
      </c>
      <c r="S5" s="0" t="s">
        <v>941</v>
      </c>
      <c r="T5" s="0" t="s">
        <v>114</v>
      </c>
      <c r="U5" s="0" t="s">
        <v>114</v>
      </c>
      <c r="V5" s="0" t="s">
        <v>114</v>
      </c>
      <c r="W5" s="0" t="s">
        <v>114</v>
      </c>
      <c r="X5" s="0">
        <v>12</v>
      </c>
      <c r="Y5" s="0">
        <v>397</v>
      </c>
      <c r="Z5" s="0">
        <v>0</v>
      </c>
      <c r="AA5" s="1">
        <f>=HYPERLINK("10.175.1.14\MWEB.12\BACK\MetricGraphs.BACK.10.175.1.14.MWEB.12.xlsx", "&lt;Metrics&gt;")</f>
      </c>
      <c r="AB5" s="1">
        <f>=HYPERLINK("10.175.1.14\MWEB.12\BACK\EntityDetails.10.175.1.14.MWEB.12.WLCFGWDB-MyS.397.xlsx", "&lt;Detail&gt;")</f>
      </c>
      <c r="AC5" s="0" t="s">
        <v>101</v>
      </c>
      <c r="AD5" s="0" t="s">
        <v>145</v>
      </c>
      <c r="AE5" s="0" t="s">
        <v>942</v>
      </c>
    </row>
    <row r="6">
      <c r="A6" s="0" t="s">
        <v>28</v>
      </c>
      <c r="B6" s="0" t="s">
        <v>30</v>
      </c>
      <c r="C6" s="0" t="s">
        <v>943</v>
      </c>
      <c r="D6" s="0" t="s">
        <v>944</v>
      </c>
      <c r="E6" s="0" t="b">
        <v>0</v>
      </c>
      <c r="F6" s="0" t="s">
        <v>114</v>
      </c>
      <c r="G6" s="0">
        <v>3</v>
      </c>
      <c r="H6" s="0" t="s">
        <v>945</v>
      </c>
      <c r="I6" s="0" t="s">
        <v>946</v>
      </c>
      <c r="J6" s="0" t="s">
        <v>947</v>
      </c>
      <c r="K6" s="0" t="s">
        <v>948</v>
      </c>
      <c r="L6" s="0" t="s">
        <v>940</v>
      </c>
      <c r="M6" s="0" t="s">
        <v>949</v>
      </c>
      <c r="N6" s="0" t="s">
        <v>114</v>
      </c>
      <c r="O6" s="0" t="s">
        <v>114</v>
      </c>
      <c r="P6" s="0" t="s">
        <v>114</v>
      </c>
      <c r="Q6" s="0" t="s">
        <v>114</v>
      </c>
      <c r="R6" s="0" t="s">
        <v>114</v>
      </c>
      <c r="S6" s="0" t="s">
        <v>114</v>
      </c>
      <c r="T6" s="0" t="s">
        <v>114</v>
      </c>
      <c r="U6" s="0" t="s">
        <v>114</v>
      </c>
      <c r="V6" s="0" t="s">
        <v>114</v>
      </c>
      <c r="W6" s="0" t="s">
        <v>114</v>
      </c>
      <c r="X6" s="0">
        <v>12</v>
      </c>
      <c r="Y6" s="0">
        <v>9</v>
      </c>
      <c r="Z6" s="0">
        <v>0</v>
      </c>
      <c r="AA6" s="1">
        <f>=HYPERLINK("10.175.1.14\MWEB.12\BACK\MetricGraphs.BACK.10.175.1.14.MWEB.12.xlsx", "&lt;Metrics&gt;")</f>
      </c>
      <c r="AB6" s="1">
        <f>=HYPERLINK("10.175.1.14\MWEB.12\BACK\EntityDetails.10.175.1.14.MWEB.12.Oracle Weblo.9.xlsx", "&lt;Detail&gt;")</f>
      </c>
      <c r="AC6" s="0" t="s">
        <v>101</v>
      </c>
      <c r="AD6" s="0" t="s">
        <v>145</v>
      </c>
      <c r="AE6" s="0" t="s">
        <v>950</v>
      </c>
    </row>
    <row r="7">
      <c r="A7" s="0" t="s">
        <v>28</v>
      </c>
      <c r="B7" s="0" t="s">
        <v>30</v>
      </c>
      <c r="C7" s="0" t="s">
        <v>951</v>
      </c>
      <c r="D7" s="0" t="s">
        <v>944</v>
      </c>
      <c r="E7" s="0" t="b">
        <v>0</v>
      </c>
      <c r="F7" s="0" t="s">
        <v>114</v>
      </c>
      <c r="G7" s="0">
        <v>3</v>
      </c>
      <c r="H7" s="0" t="s">
        <v>945</v>
      </c>
      <c r="I7" s="0" t="s">
        <v>952</v>
      </c>
      <c r="J7" s="0" t="s">
        <v>947</v>
      </c>
      <c r="K7" s="0" t="s">
        <v>948</v>
      </c>
      <c r="L7" s="0" t="s">
        <v>940</v>
      </c>
      <c r="M7" s="0" t="s">
        <v>949</v>
      </c>
      <c r="N7" s="0" t="s">
        <v>114</v>
      </c>
      <c r="O7" s="0" t="s">
        <v>114</v>
      </c>
      <c r="P7" s="0" t="s">
        <v>114</v>
      </c>
      <c r="Q7" s="0" t="s">
        <v>114</v>
      </c>
      <c r="R7" s="0" t="s">
        <v>114</v>
      </c>
      <c r="S7" s="0" t="s">
        <v>114</v>
      </c>
      <c r="T7" s="0" t="s">
        <v>114</v>
      </c>
      <c r="U7" s="0" t="s">
        <v>114</v>
      </c>
      <c r="V7" s="0" t="s">
        <v>114</v>
      </c>
      <c r="W7" s="0" t="s">
        <v>114</v>
      </c>
      <c r="X7" s="0">
        <v>12</v>
      </c>
      <c r="Y7" s="0">
        <v>7</v>
      </c>
      <c r="Z7" s="0">
        <v>0</v>
      </c>
      <c r="AA7" s="1">
        <f>=HYPERLINK("10.175.1.14\MWEB.12\BACK\MetricGraphs.BACK.10.175.1.14.MWEB.12.xlsx", "&lt;Metrics&gt;")</f>
      </c>
      <c r="AB7" s="1">
        <f>=HYPERLINK("10.175.1.14\MWEB.12\BACK\EntityDetails.10.175.1.14.MWEB.12.Oracle Weblo.7.xlsx", "&lt;Detail&gt;")</f>
      </c>
      <c r="AC7" s="0" t="s">
        <v>101</v>
      </c>
      <c r="AD7" s="0" t="s">
        <v>145</v>
      </c>
      <c r="AE7" s="0" t="s">
        <v>953</v>
      </c>
    </row>
    <row r="8">
      <c r="A8" s="0" t="s">
        <v>28</v>
      </c>
      <c r="B8" s="0" t="s">
        <v>30</v>
      </c>
      <c r="C8" s="0" t="s">
        <v>954</v>
      </c>
      <c r="D8" s="0" t="s">
        <v>944</v>
      </c>
      <c r="E8" s="0" t="b">
        <v>0</v>
      </c>
      <c r="F8" s="0" t="s">
        <v>114</v>
      </c>
      <c r="G8" s="0">
        <v>6</v>
      </c>
      <c r="H8" s="0" t="s">
        <v>945</v>
      </c>
      <c r="I8" s="0" t="s">
        <v>955</v>
      </c>
      <c r="J8" s="0" t="s">
        <v>947</v>
      </c>
      <c r="K8" s="0" t="s">
        <v>948</v>
      </c>
      <c r="L8" s="0" t="s">
        <v>930</v>
      </c>
      <c r="M8" s="0" t="s">
        <v>114</v>
      </c>
      <c r="N8" s="0" t="s">
        <v>932</v>
      </c>
      <c r="O8" s="0" t="s">
        <v>956</v>
      </c>
      <c r="P8" s="0" t="s">
        <v>934</v>
      </c>
      <c r="Q8" s="0" t="s">
        <v>957</v>
      </c>
      <c r="R8" s="0" t="s">
        <v>940</v>
      </c>
      <c r="S8" s="0" t="s">
        <v>958</v>
      </c>
      <c r="T8" s="0" t="s">
        <v>114</v>
      </c>
      <c r="U8" s="0" t="s">
        <v>114</v>
      </c>
      <c r="V8" s="0" t="s">
        <v>114</v>
      </c>
      <c r="W8" s="0" t="s">
        <v>114</v>
      </c>
      <c r="X8" s="0">
        <v>12</v>
      </c>
      <c r="Y8" s="0">
        <v>410</v>
      </c>
      <c r="Z8" s="0">
        <v>0</v>
      </c>
      <c r="AA8" s="1">
        <f>=HYPERLINK("10.175.1.14\MWEB.12\BACK\MetricGraphs.BACK.10.175.1.14.MWEB.12.xlsx", "&lt;Metrics&gt;")</f>
      </c>
      <c r="AB8" s="1">
        <f>=HYPERLINK("10.175.1.14\MWEB.12\BACK\EntityDetails.10.175.1.14.MWEB.12.Websphere MQ.410.xlsx", "&lt;Detail&gt;")</f>
      </c>
      <c r="AC8" s="0" t="s">
        <v>101</v>
      </c>
      <c r="AD8" s="0" t="s">
        <v>145</v>
      </c>
      <c r="AE8" s="0" t="s">
        <v>959</v>
      </c>
    </row>
    <row r="9">
      <c r="A9" s="0" t="s">
        <v>28</v>
      </c>
      <c r="B9" s="0" t="s">
        <v>30</v>
      </c>
      <c r="C9" s="0" t="s">
        <v>960</v>
      </c>
      <c r="D9" s="0" t="s">
        <v>944</v>
      </c>
      <c r="E9" s="0" t="b">
        <v>0</v>
      </c>
      <c r="F9" s="0" t="s">
        <v>114</v>
      </c>
      <c r="G9" s="0">
        <v>6</v>
      </c>
      <c r="H9" s="0" t="s">
        <v>945</v>
      </c>
      <c r="I9" s="0" t="s">
        <v>961</v>
      </c>
      <c r="J9" s="0" t="s">
        <v>947</v>
      </c>
      <c r="K9" s="0" t="s">
        <v>948</v>
      </c>
      <c r="L9" s="0" t="s">
        <v>930</v>
      </c>
      <c r="M9" s="0" t="s">
        <v>114</v>
      </c>
      <c r="N9" s="0" t="s">
        <v>932</v>
      </c>
      <c r="O9" s="0" t="s">
        <v>956</v>
      </c>
      <c r="P9" s="0" t="s">
        <v>934</v>
      </c>
      <c r="Q9" s="0" t="s">
        <v>957</v>
      </c>
      <c r="R9" s="0" t="s">
        <v>940</v>
      </c>
      <c r="S9" s="0" t="s">
        <v>958</v>
      </c>
      <c r="T9" s="0" t="s">
        <v>114</v>
      </c>
      <c r="U9" s="0" t="s">
        <v>114</v>
      </c>
      <c r="V9" s="0" t="s">
        <v>114</v>
      </c>
      <c r="W9" s="0" t="s">
        <v>114</v>
      </c>
      <c r="X9" s="0">
        <v>12</v>
      </c>
      <c r="Y9" s="0">
        <v>553</v>
      </c>
      <c r="Z9" s="0">
        <v>0</v>
      </c>
      <c r="AA9" s="1">
        <f>=HYPERLINK("10.175.1.14\MWEB.12\BACK\MetricGraphs.BACK.10.175.1.14.MWEB.12.xlsx", "&lt;Metrics&gt;")</f>
      </c>
      <c r="AB9" s="1">
        <f>=HYPERLINK("10.175.1.14\MWEB.12\BACK\EntityDetails.10.175.1.14.MWEB.12.Websphere MQ.553.xlsx", "&lt;Detail&gt;")</f>
      </c>
      <c r="AC9" s="0" t="s">
        <v>101</v>
      </c>
      <c r="AD9" s="0" t="s">
        <v>145</v>
      </c>
      <c r="AE9" s="0" t="s">
        <v>962</v>
      </c>
    </row>
    <row r="10">
      <c r="A10" s="0" t="s">
        <v>28</v>
      </c>
      <c r="B10" s="0" t="s">
        <v>30</v>
      </c>
      <c r="C10" s="0" t="s">
        <v>963</v>
      </c>
      <c r="D10" s="0" t="s">
        <v>944</v>
      </c>
      <c r="E10" s="0" t="b">
        <v>0</v>
      </c>
      <c r="F10" s="0" t="s">
        <v>114</v>
      </c>
      <c r="G10" s="0">
        <v>6</v>
      </c>
      <c r="H10" s="0" t="s">
        <v>945</v>
      </c>
      <c r="I10" s="0" t="s">
        <v>964</v>
      </c>
      <c r="J10" s="0" t="s">
        <v>947</v>
      </c>
      <c r="K10" s="0" t="s">
        <v>948</v>
      </c>
      <c r="L10" s="0" t="s">
        <v>930</v>
      </c>
      <c r="M10" s="0" t="s">
        <v>114</v>
      </c>
      <c r="N10" s="0" t="s">
        <v>932</v>
      </c>
      <c r="O10" s="0" t="s">
        <v>956</v>
      </c>
      <c r="P10" s="0" t="s">
        <v>934</v>
      </c>
      <c r="Q10" s="0" t="s">
        <v>957</v>
      </c>
      <c r="R10" s="0" t="s">
        <v>940</v>
      </c>
      <c r="S10" s="0" t="s">
        <v>958</v>
      </c>
      <c r="T10" s="0" t="s">
        <v>114</v>
      </c>
      <c r="U10" s="0" t="s">
        <v>114</v>
      </c>
      <c r="V10" s="0" t="s">
        <v>114</v>
      </c>
      <c r="W10" s="0" t="s">
        <v>114</v>
      </c>
      <c r="X10" s="0">
        <v>12</v>
      </c>
      <c r="Y10" s="0">
        <v>36</v>
      </c>
      <c r="Z10" s="0">
        <v>0</v>
      </c>
      <c r="AA10" s="1">
        <f>=HYPERLINK("10.175.1.14\MWEB.12\BACK\MetricGraphs.BACK.10.175.1.14.MWEB.12.xlsx", "&lt;Metrics&gt;")</f>
      </c>
      <c r="AB10" s="1">
        <f>=HYPERLINK("10.175.1.14\MWEB.12\BACK\EntityDetails.10.175.1.14.MWEB.12.Websphere MQ.36.xlsx", "&lt;Detail&gt;")</f>
      </c>
      <c r="AC10" s="0" t="s">
        <v>101</v>
      </c>
      <c r="AD10" s="0" t="s">
        <v>145</v>
      </c>
      <c r="AE10" s="0" t="s">
        <v>965</v>
      </c>
    </row>
  </sheetData>
  <headerFooter/>
  <tableParts>
    <tablePart r:id="rId1"/>
  </tableParts>
</worksheet>
</file>

<file path=xl/worksheets/sheet2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=HYPERLINK("#'9.Backends'!A1", "&lt;Go&gt;")</f>
      </c>
    </row>
  </sheetData>
  <headerFooter/>
  <drawing r:id="rId2"/>
</worksheet>
</file>

<file path=xl/worksheets/sheet25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=HYPERLINK("#'9.Backends'!A1", "&lt;Go&gt;")</f>
      </c>
    </row>
  </sheetData>
  <headerFooter/>
</worksheet>
</file>

<file path=xl/worksheets/sheet26.xml><?xml version="1.0" encoding="utf-8"?>
<worksheet xmlns:r="http://schemas.openxmlformats.org/officeDocument/2006/relationships" xmlns="http://schemas.openxmlformats.org/spreadsheetml/2006/main">
  <dimension ref="A1:T22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5" customWidth="1"/>
    <col min="3" max="3" width="15" customWidth="1"/>
    <col min="4" max="4" width="20" customWidth="1"/>
    <col min="5" max="5" width="20" customWidth="1"/>
    <col min="7" max="7" width="10" customWidth="1"/>
    <col min="9" max="9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966</v>
      </c>
      <c r="B2" s="1">
        <f>=HYPERLINK("#'10.BTs.Type'!A1", "&lt;Go&gt;")</f>
      </c>
      <c r="C2" s="0" t="s">
        <v>967</v>
      </c>
      <c r="D2" s="1">
        <f>=HYPERLINK("#'15.Overflow BTs'!A1", "&lt;Go&gt;")</f>
      </c>
    </row>
    <row r="3">
      <c r="A3" s="0" t="s">
        <v>968</v>
      </c>
      <c r="B3" s="1">
        <f>=HYPERLINK("#'10.BTs.Location'!A1",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969</v>
      </c>
      <c r="E4" s="0" t="s">
        <v>970</v>
      </c>
      <c r="F4" s="0" t="s">
        <v>971</v>
      </c>
      <c r="G4" s="0" t="s">
        <v>972</v>
      </c>
      <c r="H4" s="0" t="s">
        <v>906</v>
      </c>
      <c r="I4" s="0" t="s">
        <v>907</v>
      </c>
      <c r="J4" s="0" t="s">
        <v>26</v>
      </c>
      <c r="K4" s="0" t="s">
        <v>150</v>
      </c>
      <c r="L4" s="0" t="s">
        <v>973</v>
      </c>
      <c r="M4" s="0" t="s">
        <v>140</v>
      </c>
      <c r="N4" s="0" t="s">
        <v>141</v>
      </c>
      <c r="O4" s="0" t="s">
        <v>142</v>
      </c>
      <c r="P4" s="0" t="s">
        <v>143</v>
      </c>
      <c r="Q4" s="0" t="s">
        <v>98</v>
      </c>
      <c r="R4" s="0" t="s">
        <v>144</v>
      </c>
      <c r="S4" s="0" t="s">
        <v>151</v>
      </c>
      <c r="T4" s="0" t="s">
        <v>974</v>
      </c>
    </row>
    <row r="5">
      <c r="A5" s="0" t="s">
        <v>28</v>
      </c>
      <c r="B5" s="0" t="s">
        <v>30</v>
      </c>
      <c r="C5" s="0" t="s">
        <v>156</v>
      </c>
      <c r="D5" s="0" t="s">
        <v>975</v>
      </c>
      <c r="E5" s="0" t="s">
        <v>975</v>
      </c>
      <c r="F5" s="0" t="b">
        <v>0</v>
      </c>
      <c r="G5" s="0" t="s">
        <v>976</v>
      </c>
      <c r="H5" s="0" t="b">
        <v>0</v>
      </c>
      <c r="I5" s="0" t="s">
        <v>114</v>
      </c>
      <c r="J5" s="0">
        <v>12</v>
      </c>
      <c r="K5" s="0">
        <v>42</v>
      </c>
      <c r="L5" s="0">
        <v>438</v>
      </c>
      <c r="M5" s="1">
        <f>=HYPERLINK("10.175.1.14\MWEB.12\BT\EntityDetails.10.175.1.14.MWEB.12.-admin-login.438.xlsx", "&lt;Detail&gt;")</f>
      </c>
      <c r="N5" s="1">
        <f>=HYPERLINK("10.175.1.14\MWEB.12\BT\MetricGraphs.BT.10.175.1.14.MWEB.12.xlsx", "&lt;Metrics&gt;")</f>
      </c>
      <c r="O5" s="1">
        <f>=HYPERLINK("10.175.1.14\MWEB.12\BT\FlameGraph.BT.10.175.1.14.MWEB.12.-admin-login.438.svg", "&lt;FlGraph&gt;")</f>
      </c>
      <c r="P5" s="1">
        <f>=HYPERLINK("10.175.1.14\MWEB.12\BT\FlameChart.BT.10.175.1.14.MWEB.12.-admin-login.438.svg", "&lt;FlChart&gt;")</f>
      </c>
      <c r="Q5" s="0" t="s">
        <v>101</v>
      </c>
      <c r="R5" s="0" t="s">
        <v>145</v>
      </c>
      <c r="S5" s="0" t="s">
        <v>157</v>
      </c>
      <c r="T5" s="0" t="s">
        <v>977</v>
      </c>
    </row>
    <row r="6">
      <c r="A6" s="0" t="s">
        <v>28</v>
      </c>
      <c r="B6" s="0" t="s">
        <v>30</v>
      </c>
      <c r="C6" s="0" t="s">
        <v>156</v>
      </c>
      <c r="D6" s="0" t="s">
        <v>978</v>
      </c>
      <c r="E6" s="0" t="s">
        <v>978</v>
      </c>
      <c r="F6" s="0" t="b">
        <v>0</v>
      </c>
      <c r="G6" s="0" t="s">
        <v>976</v>
      </c>
      <c r="H6" s="0" t="b">
        <v>0</v>
      </c>
      <c r="I6" s="0" t="s">
        <v>114</v>
      </c>
      <c r="J6" s="0">
        <v>12</v>
      </c>
      <c r="K6" s="0">
        <v>42</v>
      </c>
      <c r="L6" s="0">
        <v>170</v>
      </c>
      <c r="M6" s="1">
        <f>=HYPERLINK("10.175.1.14\MWEB.12\BT\EntityDetails.10.175.1.14.MWEB.12.-api-login.170.xlsx", "&lt;Detail&gt;")</f>
      </c>
      <c r="N6" s="1">
        <f>=HYPERLINK("10.175.1.14\MWEB.12\BT\MetricGraphs.BT.10.175.1.14.MWEB.12.xlsx", "&lt;Metrics&gt;")</f>
      </c>
      <c r="O6" s="1">
        <f>=HYPERLINK("10.175.1.14\MWEB.12\BT\FlameGraph.BT.10.175.1.14.MWEB.12.-api-login.170.svg", "&lt;FlGraph&gt;")</f>
      </c>
      <c r="P6" s="1">
        <f>=HYPERLINK("10.175.1.14\MWEB.12\BT\FlameChart.BT.10.175.1.14.MWEB.12.-api-login.170.svg", "&lt;FlChart&gt;")</f>
      </c>
      <c r="Q6" s="0" t="s">
        <v>101</v>
      </c>
      <c r="R6" s="0" t="s">
        <v>145</v>
      </c>
      <c r="S6" s="0" t="s">
        <v>157</v>
      </c>
      <c r="T6" s="0" t="s">
        <v>979</v>
      </c>
    </row>
    <row r="7">
      <c r="A7" s="0" t="s">
        <v>28</v>
      </c>
      <c r="B7" s="0" t="s">
        <v>30</v>
      </c>
      <c r="C7" s="0" t="s">
        <v>156</v>
      </c>
      <c r="D7" s="0" t="s">
        <v>980</v>
      </c>
      <c r="E7" s="0" t="s">
        <v>980</v>
      </c>
      <c r="F7" s="0" t="b">
        <v>0</v>
      </c>
      <c r="G7" s="0" t="s">
        <v>976</v>
      </c>
      <c r="H7" s="0" t="b">
        <v>0</v>
      </c>
      <c r="I7" s="0" t="s">
        <v>114</v>
      </c>
      <c r="J7" s="0">
        <v>12</v>
      </c>
      <c r="K7" s="0">
        <v>42</v>
      </c>
      <c r="L7" s="0">
        <v>202</v>
      </c>
      <c r="M7" s="1">
        <f>=HYPERLINK("10.175.1.14\MWEB.12\BT\EntityDetails.10.175.1.14.MWEB.12.-connect-dum.202.xlsx", "&lt;Detail&gt;")</f>
      </c>
      <c r="N7" s="1">
        <f>=HYPERLINK("10.175.1.14\MWEB.12\BT\MetricGraphs.BT.10.175.1.14.MWEB.12.xlsx", "&lt;Metrics&gt;")</f>
      </c>
      <c r="O7" s="1">
        <f>=HYPERLINK("10.175.1.14\MWEB.12\BT\FlameGraph.BT.10.175.1.14.MWEB.12.-connect-dum.202.svg", "&lt;FlGraph&gt;")</f>
      </c>
      <c r="P7" s="1">
        <f>=HYPERLINK("10.175.1.14\MWEB.12\BT\FlameChart.BT.10.175.1.14.MWEB.12.-connect-dum.202.svg", "&lt;FlChart&gt;")</f>
      </c>
      <c r="Q7" s="0" t="s">
        <v>101</v>
      </c>
      <c r="R7" s="0" t="s">
        <v>145</v>
      </c>
      <c r="S7" s="0" t="s">
        <v>157</v>
      </c>
      <c r="T7" s="0" t="s">
        <v>981</v>
      </c>
    </row>
    <row r="8">
      <c r="A8" s="0" t="s">
        <v>28</v>
      </c>
      <c r="B8" s="0" t="s">
        <v>30</v>
      </c>
      <c r="C8" s="0" t="s">
        <v>156</v>
      </c>
      <c r="D8" s="0" t="s">
        <v>982</v>
      </c>
      <c r="E8" s="0" t="s">
        <v>982</v>
      </c>
      <c r="F8" s="0" t="b">
        <v>0</v>
      </c>
      <c r="G8" s="0" t="s">
        <v>976</v>
      </c>
      <c r="H8" s="0" t="b">
        <v>0</v>
      </c>
      <c r="I8" s="0" t="s">
        <v>114</v>
      </c>
      <c r="J8" s="0">
        <v>12</v>
      </c>
      <c r="K8" s="0">
        <v>42</v>
      </c>
      <c r="L8" s="0">
        <v>437</v>
      </c>
      <c r="M8" s="1">
        <f>=HYPERLINK("10.175.1.14\MWEB.12\BT\EntityDetails.10.175.1.14.MWEB.12.-dms2-Login..437.xlsx", "&lt;Detail&gt;")</f>
      </c>
      <c r="N8" s="1">
        <f>=HYPERLINK("10.175.1.14\MWEB.12\BT\MetricGraphs.BT.10.175.1.14.MWEB.12.xlsx", "&lt;Metrics&gt;")</f>
      </c>
      <c r="O8" s="1">
        <f>=HYPERLINK("10.175.1.14\MWEB.12\BT\FlameGraph.BT.10.175.1.14.MWEB.12.-dms2-Login..437.svg", "&lt;FlGraph&gt;")</f>
      </c>
      <c r="P8" s="1">
        <f>=HYPERLINK("10.175.1.14\MWEB.12\BT\FlameChart.BT.10.175.1.14.MWEB.12.-dms2-Login..437.svg", "&lt;FlChart&gt;")</f>
      </c>
      <c r="Q8" s="0" t="s">
        <v>101</v>
      </c>
      <c r="R8" s="0" t="s">
        <v>145</v>
      </c>
      <c r="S8" s="0" t="s">
        <v>157</v>
      </c>
      <c r="T8" s="0" t="s">
        <v>983</v>
      </c>
    </row>
    <row r="9">
      <c r="A9" s="0" t="s">
        <v>28</v>
      </c>
      <c r="B9" s="0" t="s">
        <v>30</v>
      </c>
      <c r="C9" s="0" t="s">
        <v>156</v>
      </c>
      <c r="D9" s="0" t="s">
        <v>984</v>
      </c>
      <c r="E9" s="0" t="s">
        <v>984</v>
      </c>
      <c r="F9" s="0" t="b">
        <v>0</v>
      </c>
      <c r="G9" s="0" t="s">
        <v>976</v>
      </c>
      <c r="H9" s="0" t="b">
        <v>0</v>
      </c>
      <c r="I9" s="0" t="s">
        <v>114</v>
      </c>
      <c r="J9" s="0">
        <v>12</v>
      </c>
      <c r="K9" s="0">
        <v>42</v>
      </c>
      <c r="L9" s="0">
        <v>157</v>
      </c>
      <c r="M9" s="1">
        <f>=HYPERLINK("10.175.1.14\MWEB.12\BT\EntityDetails.10.175.1.14.MWEB.12.-HealthMonit.157.xlsx", "&lt;Detail&gt;")</f>
      </c>
      <c r="N9" s="1">
        <f>=HYPERLINK("10.175.1.14\MWEB.12\BT\MetricGraphs.BT.10.175.1.14.MWEB.12.xlsx", "&lt;Metrics&gt;")</f>
      </c>
      <c r="O9" s="1">
        <f>=HYPERLINK("10.175.1.14\MWEB.12\BT\FlameGraph.BT.10.175.1.14.MWEB.12.-HealthMonit.157.svg", "&lt;FlGraph&gt;")</f>
      </c>
      <c r="P9" s="1">
        <f>=HYPERLINK("10.175.1.14\MWEB.12\BT\FlameChart.BT.10.175.1.14.MWEB.12.-HealthMonit.157.svg", "&lt;FlChart&gt;")</f>
      </c>
      <c r="Q9" s="0" t="s">
        <v>101</v>
      </c>
      <c r="R9" s="0" t="s">
        <v>145</v>
      </c>
      <c r="S9" s="0" t="s">
        <v>157</v>
      </c>
      <c r="T9" s="0" t="s">
        <v>985</v>
      </c>
    </row>
    <row r="10">
      <c r="A10" s="0" t="s">
        <v>28</v>
      </c>
      <c r="B10" s="0" t="s">
        <v>30</v>
      </c>
      <c r="C10" s="0" t="s">
        <v>156</v>
      </c>
      <c r="D10" s="0" t="s">
        <v>986</v>
      </c>
      <c r="E10" s="0" t="s">
        <v>986</v>
      </c>
      <c r="F10" s="0" t="b">
        <v>0</v>
      </c>
      <c r="G10" s="0" t="s">
        <v>976</v>
      </c>
      <c r="H10" s="0" t="b">
        <v>0</v>
      </c>
      <c r="I10" s="0" t="s">
        <v>114</v>
      </c>
      <c r="J10" s="0">
        <v>12</v>
      </c>
      <c r="K10" s="0">
        <v>42</v>
      </c>
      <c r="L10" s="0">
        <v>168</v>
      </c>
      <c r="M10" s="1">
        <f>=HYPERLINK("10.175.1.14\MWEB.12\BT\EntityDetails.10.175.1.14.MWEB.12.-inet-affili.168.xlsx", "&lt;Detail&gt;")</f>
      </c>
      <c r="N10" s="1">
        <f>=HYPERLINK("10.175.1.14\MWEB.12\BT\MetricGraphs.BT.10.175.1.14.MWEB.12.xlsx", "&lt;Metrics&gt;")</f>
      </c>
      <c r="O10" s="1">
        <f>=HYPERLINK("10.175.1.14\MWEB.12\BT\FlameGraph.BT.10.175.1.14.MWEB.12.-inet-affili.168.svg", "&lt;FlGraph&gt;")</f>
      </c>
      <c r="P10" s="1">
        <f>=HYPERLINK("10.175.1.14\MWEB.12\BT\FlameChart.BT.10.175.1.14.MWEB.12.-inet-affili.168.svg", "&lt;FlChart&gt;")</f>
      </c>
      <c r="Q10" s="0" t="s">
        <v>101</v>
      </c>
      <c r="R10" s="0" t="s">
        <v>145</v>
      </c>
      <c r="S10" s="0" t="s">
        <v>157</v>
      </c>
      <c r="T10" s="0" t="s">
        <v>987</v>
      </c>
    </row>
    <row r="11">
      <c r="A11" s="0" t="s">
        <v>28</v>
      </c>
      <c r="B11" s="0" t="s">
        <v>30</v>
      </c>
      <c r="C11" s="0" t="s">
        <v>156</v>
      </c>
      <c r="D11" s="0" t="s">
        <v>988</v>
      </c>
      <c r="E11" s="0" t="s">
        <v>988</v>
      </c>
      <c r="F11" s="0" t="b">
        <v>0</v>
      </c>
      <c r="G11" s="0" t="s">
        <v>976</v>
      </c>
      <c r="H11" s="0" t="b">
        <v>0</v>
      </c>
      <c r="I11" s="0" t="s">
        <v>114</v>
      </c>
      <c r="J11" s="0">
        <v>12</v>
      </c>
      <c r="K11" s="0">
        <v>42</v>
      </c>
      <c r="L11" s="0">
        <v>184</v>
      </c>
      <c r="M11" s="1">
        <f>=HYPERLINK("10.175.1.14\MWEB.12\BT\EntityDetails.10.175.1.14.MWEB.12.-inet-announ.184.xlsx", "&lt;Detail&gt;")</f>
      </c>
      <c r="N11" s="1">
        <f>=HYPERLINK("10.175.1.14\MWEB.12\BT\MetricGraphs.BT.10.175.1.14.MWEB.12.xlsx", "&lt;Metrics&gt;")</f>
      </c>
      <c r="O11" s="1">
        <f>=HYPERLINK("10.175.1.14\MWEB.12\BT\FlameGraph.BT.10.175.1.14.MWEB.12.-inet-announ.184.svg", "&lt;FlGraph&gt;")</f>
      </c>
      <c r="P11" s="1">
        <f>=HYPERLINK("10.175.1.14\MWEB.12\BT\FlameChart.BT.10.175.1.14.MWEB.12.-inet-announ.184.svg", "&lt;FlChart&gt;")</f>
      </c>
      <c r="Q11" s="0" t="s">
        <v>101</v>
      </c>
      <c r="R11" s="0" t="s">
        <v>145</v>
      </c>
      <c r="S11" s="0" t="s">
        <v>157</v>
      </c>
      <c r="T11" s="0" t="s">
        <v>989</v>
      </c>
    </row>
    <row r="12">
      <c r="A12" s="0" t="s">
        <v>28</v>
      </c>
      <c r="B12" s="0" t="s">
        <v>30</v>
      </c>
      <c r="C12" s="0" t="s">
        <v>156</v>
      </c>
      <c r="D12" s="0" t="s">
        <v>990</v>
      </c>
      <c r="E12" s="0" t="s">
        <v>990</v>
      </c>
      <c r="F12" s="0" t="b">
        <v>0</v>
      </c>
      <c r="G12" s="0" t="s">
        <v>976</v>
      </c>
      <c r="H12" s="0" t="b">
        <v>0</v>
      </c>
      <c r="I12" s="0" t="s">
        <v>114</v>
      </c>
      <c r="J12" s="0">
        <v>12</v>
      </c>
      <c r="K12" s="0">
        <v>42</v>
      </c>
      <c r="L12" s="0">
        <v>214</v>
      </c>
      <c r="M12" s="1">
        <f>=HYPERLINK("10.175.1.14\MWEB.12\BT\EntityDetails.10.175.1.14.MWEB.12.-inet-clerk.214.xlsx", "&lt;Detail&gt;")</f>
      </c>
      <c r="N12" s="1">
        <f>=HYPERLINK("10.175.1.14\MWEB.12\BT\MetricGraphs.BT.10.175.1.14.MWEB.12.xlsx", "&lt;Metrics&gt;")</f>
      </c>
      <c r="O12" s="1">
        <f>=HYPERLINK("10.175.1.14\MWEB.12\BT\FlameGraph.BT.10.175.1.14.MWEB.12.-inet-clerk.214.svg", "&lt;FlGraph&gt;")</f>
      </c>
      <c r="P12" s="1">
        <f>=HYPERLINK("10.175.1.14\MWEB.12\BT\FlameChart.BT.10.175.1.14.MWEB.12.-inet-clerk.214.svg", "&lt;FlChart&gt;")</f>
      </c>
      <c r="Q12" s="0" t="s">
        <v>101</v>
      </c>
      <c r="R12" s="0" t="s">
        <v>145</v>
      </c>
      <c r="S12" s="0" t="s">
        <v>157</v>
      </c>
      <c r="T12" s="0" t="s">
        <v>991</v>
      </c>
    </row>
    <row r="13">
      <c r="A13" s="0" t="s">
        <v>28</v>
      </c>
      <c r="B13" s="0" t="s">
        <v>30</v>
      </c>
      <c r="C13" s="0" t="s">
        <v>156</v>
      </c>
      <c r="D13" s="0" t="s">
        <v>992</v>
      </c>
      <c r="E13" s="0" t="s">
        <v>992</v>
      </c>
      <c r="F13" s="0" t="b">
        <v>0</v>
      </c>
      <c r="G13" s="0" t="s">
        <v>976</v>
      </c>
      <c r="H13" s="0" t="b">
        <v>0</v>
      </c>
      <c r="I13" s="0" t="s">
        <v>114</v>
      </c>
      <c r="J13" s="0">
        <v>12</v>
      </c>
      <c r="K13" s="0">
        <v>42</v>
      </c>
      <c r="L13" s="0">
        <v>213</v>
      </c>
      <c r="M13" s="1">
        <f>=HYPERLINK("10.175.1.14\MWEB.12\BT\EntityDetails.10.175.1.14.MWEB.12.-inet-corpor.213.xlsx", "&lt;Detail&gt;")</f>
      </c>
      <c r="N13" s="1">
        <f>=HYPERLINK("10.175.1.14\MWEB.12\BT\MetricGraphs.BT.10.175.1.14.MWEB.12.xlsx", "&lt;Metrics&gt;")</f>
      </c>
      <c r="O13" s="1">
        <f>=HYPERLINK("10.175.1.14\MWEB.12\BT\FlameGraph.BT.10.175.1.14.MWEB.12.-inet-corpor.213.svg", "&lt;FlGraph&gt;")</f>
      </c>
      <c r="P13" s="1">
        <f>=HYPERLINK("10.175.1.14\MWEB.12\BT\FlameChart.BT.10.175.1.14.MWEB.12.-inet-corpor.213.svg", "&lt;FlChart&gt;")</f>
      </c>
      <c r="Q13" s="0" t="s">
        <v>101</v>
      </c>
      <c r="R13" s="0" t="s">
        <v>145</v>
      </c>
      <c r="S13" s="0" t="s">
        <v>157</v>
      </c>
      <c r="T13" s="0" t="s">
        <v>993</v>
      </c>
    </row>
    <row r="14">
      <c r="A14" s="0" t="s">
        <v>28</v>
      </c>
      <c r="B14" s="0" t="s">
        <v>30</v>
      </c>
      <c r="C14" s="0" t="s">
        <v>156</v>
      </c>
      <c r="D14" s="0" t="s">
        <v>994</v>
      </c>
      <c r="E14" s="0" t="s">
        <v>994</v>
      </c>
      <c r="F14" s="0" t="b">
        <v>0</v>
      </c>
      <c r="G14" s="0" t="s">
        <v>976</v>
      </c>
      <c r="H14" s="0" t="b">
        <v>0</v>
      </c>
      <c r="I14" s="0" t="s">
        <v>114</v>
      </c>
      <c r="J14" s="0">
        <v>12</v>
      </c>
      <c r="K14" s="0">
        <v>42</v>
      </c>
      <c r="L14" s="0">
        <v>155</v>
      </c>
      <c r="M14" s="1">
        <f>=HYPERLINK("10.175.1.14\MWEB.12\BT\EntityDetails.10.175.1.14.MWEB.12.-inet-dy.155.xlsx", "&lt;Detail&gt;")</f>
      </c>
      <c r="N14" s="1">
        <f>=HYPERLINK("10.175.1.14\MWEB.12\BT\MetricGraphs.BT.10.175.1.14.MWEB.12.xlsx", "&lt;Metrics&gt;")</f>
      </c>
      <c r="O14" s="1">
        <f>=HYPERLINK("10.175.1.14\MWEB.12\BT\FlameGraph.BT.10.175.1.14.MWEB.12.-inet-dy.155.svg", "&lt;FlGraph&gt;")</f>
      </c>
      <c r="P14" s="1">
        <f>=HYPERLINK("10.175.1.14\MWEB.12\BT\FlameChart.BT.10.175.1.14.MWEB.12.-inet-dy.155.svg", "&lt;FlChart&gt;")</f>
      </c>
      <c r="Q14" s="0" t="s">
        <v>101</v>
      </c>
      <c r="R14" s="0" t="s">
        <v>145</v>
      </c>
      <c r="S14" s="0" t="s">
        <v>157</v>
      </c>
      <c r="T14" s="0" t="s">
        <v>995</v>
      </c>
    </row>
    <row r="15">
      <c r="A15" s="0" t="s">
        <v>28</v>
      </c>
      <c r="B15" s="0" t="s">
        <v>30</v>
      </c>
      <c r="C15" s="0" t="s">
        <v>156</v>
      </c>
      <c r="D15" s="0" t="s">
        <v>996</v>
      </c>
      <c r="E15" s="0" t="s">
        <v>996</v>
      </c>
      <c r="F15" s="0" t="b">
        <v>0</v>
      </c>
      <c r="G15" s="0" t="s">
        <v>976</v>
      </c>
      <c r="H15" s="0" t="b">
        <v>0</v>
      </c>
      <c r="I15" s="0" t="s">
        <v>114</v>
      </c>
      <c r="J15" s="0">
        <v>12</v>
      </c>
      <c r="K15" s="0">
        <v>42</v>
      </c>
      <c r="L15" s="0">
        <v>222</v>
      </c>
      <c r="M15" s="1">
        <f>=HYPERLINK("10.175.1.14\MWEB.12\BT\EntityDetails.10.175.1.14.MWEB.12.-inet-EshopS.222.xlsx", "&lt;Detail&gt;")</f>
      </c>
      <c r="N15" s="1">
        <f>=HYPERLINK("10.175.1.14\MWEB.12\BT\MetricGraphs.BT.10.175.1.14.MWEB.12.xlsx", "&lt;Metrics&gt;")</f>
      </c>
      <c r="O15" s="1">
        <f>=HYPERLINK("10.175.1.14\MWEB.12\BT\FlameGraph.BT.10.175.1.14.MWEB.12.-inet-EshopS.222.svg", "&lt;FlGraph&gt;")</f>
      </c>
      <c r="P15" s="1">
        <f>=HYPERLINK("10.175.1.14\MWEB.12\BT\FlameChart.BT.10.175.1.14.MWEB.12.-inet-EshopS.222.svg", "&lt;FlChart&gt;")</f>
      </c>
      <c r="Q15" s="0" t="s">
        <v>101</v>
      </c>
      <c r="R15" s="0" t="s">
        <v>145</v>
      </c>
      <c r="S15" s="0" t="s">
        <v>157</v>
      </c>
      <c r="T15" s="0" t="s">
        <v>997</v>
      </c>
    </row>
    <row r="16">
      <c r="A16" s="0" t="s">
        <v>28</v>
      </c>
      <c r="B16" s="0" t="s">
        <v>30</v>
      </c>
      <c r="C16" s="0" t="s">
        <v>156</v>
      </c>
      <c r="D16" s="0" t="s">
        <v>998</v>
      </c>
      <c r="E16" s="0" t="s">
        <v>998</v>
      </c>
      <c r="F16" s="0" t="b">
        <v>0</v>
      </c>
      <c r="G16" s="0" t="s">
        <v>976</v>
      </c>
      <c r="H16" s="0" t="b">
        <v>0</v>
      </c>
      <c r="I16" s="0" t="s">
        <v>114</v>
      </c>
      <c r="J16" s="0">
        <v>12</v>
      </c>
      <c r="K16" s="0">
        <v>42</v>
      </c>
      <c r="L16" s="0">
        <v>156</v>
      </c>
      <c r="M16" s="1">
        <f>=HYPERLINK("10.175.1.14\MWEB.12\BT\EntityDetails.10.175.1.14.MWEB.12.-inet-idpw.156.xlsx", "&lt;Detail&gt;")</f>
      </c>
      <c r="N16" s="1">
        <f>=HYPERLINK("10.175.1.14\MWEB.12\BT\MetricGraphs.BT.10.175.1.14.MWEB.12.xlsx", "&lt;Metrics&gt;")</f>
      </c>
      <c r="O16" s="1">
        <f>=HYPERLINK("10.175.1.14\MWEB.12\BT\FlameGraph.BT.10.175.1.14.MWEB.12.-inet-idpw.156.svg", "&lt;FlGraph&gt;")</f>
      </c>
      <c r="P16" s="1">
        <f>=HYPERLINK("10.175.1.14\MWEB.12\BT\FlameChart.BT.10.175.1.14.MWEB.12.-inet-idpw.156.svg", "&lt;FlChart&gt;")</f>
      </c>
      <c r="Q16" s="0" t="s">
        <v>101</v>
      </c>
      <c r="R16" s="0" t="s">
        <v>145</v>
      </c>
      <c r="S16" s="0" t="s">
        <v>157</v>
      </c>
      <c r="T16" s="0" t="s">
        <v>999</v>
      </c>
    </row>
    <row r="17">
      <c r="A17" s="0" t="s">
        <v>28</v>
      </c>
      <c r="B17" s="0" t="s">
        <v>30</v>
      </c>
      <c r="C17" s="0" t="s">
        <v>156</v>
      </c>
      <c r="D17" s="0" t="s">
        <v>1000</v>
      </c>
      <c r="E17" s="0" t="s">
        <v>1000</v>
      </c>
      <c r="F17" s="0" t="b">
        <v>0</v>
      </c>
      <c r="G17" s="0" t="s">
        <v>976</v>
      </c>
      <c r="H17" s="0" t="b">
        <v>0</v>
      </c>
      <c r="I17" s="0" t="s">
        <v>114</v>
      </c>
      <c r="J17" s="0">
        <v>12</v>
      </c>
      <c r="K17" s="0">
        <v>42</v>
      </c>
      <c r="L17" s="0">
        <v>106</v>
      </c>
      <c r="M17" s="1">
        <f>=HYPERLINK("10.175.1.14\MWEB.12\BT\EntityDetails.10.175.1.14.MWEB.12.-inet-life.106.xlsx", "&lt;Detail&gt;")</f>
      </c>
      <c r="N17" s="1">
        <f>=HYPERLINK("10.175.1.14\MWEB.12\BT\MetricGraphs.BT.10.175.1.14.MWEB.12.xlsx", "&lt;Metrics&gt;")</f>
      </c>
      <c r="O17" s="1">
        <f>=HYPERLINK("10.175.1.14\MWEB.12\BT\FlameGraph.BT.10.175.1.14.MWEB.12.-inet-life.106.svg", "&lt;FlGraph&gt;")</f>
      </c>
      <c r="P17" s="1">
        <f>=HYPERLINK("10.175.1.14\MWEB.12\BT\FlameChart.BT.10.175.1.14.MWEB.12.-inet-life.106.svg", "&lt;FlChart&gt;")</f>
      </c>
      <c r="Q17" s="0" t="s">
        <v>101</v>
      </c>
      <c r="R17" s="0" t="s">
        <v>145</v>
      </c>
      <c r="S17" s="0" t="s">
        <v>157</v>
      </c>
      <c r="T17" s="0" t="s">
        <v>1001</v>
      </c>
    </row>
    <row r="18">
      <c r="A18" s="0" t="s">
        <v>28</v>
      </c>
      <c r="B18" s="0" t="s">
        <v>30</v>
      </c>
      <c r="C18" s="0" t="s">
        <v>156</v>
      </c>
      <c r="D18" s="0" t="s">
        <v>1002</v>
      </c>
      <c r="E18" s="0" t="s">
        <v>1002</v>
      </c>
      <c r="F18" s="0" t="b">
        <v>0</v>
      </c>
      <c r="G18" s="0" t="s">
        <v>976</v>
      </c>
      <c r="H18" s="0" t="b">
        <v>0</v>
      </c>
      <c r="I18" s="0" t="s">
        <v>114</v>
      </c>
      <c r="J18" s="0">
        <v>12</v>
      </c>
      <c r="K18" s="0">
        <v>42</v>
      </c>
      <c r="L18" s="0">
        <v>167</v>
      </c>
      <c r="M18" s="1">
        <f>=HYPERLINK("10.175.1.14\MWEB.12\BT\EntityDetails.10.175.1.14.MWEB.12.-inet-ni.167.xlsx", "&lt;Detail&gt;")</f>
      </c>
      <c r="N18" s="1">
        <f>=HYPERLINK("10.175.1.14\MWEB.12\BT\MetricGraphs.BT.10.175.1.14.MWEB.12.xlsx", "&lt;Metrics&gt;")</f>
      </c>
      <c r="O18" s="1">
        <f>=HYPERLINK("10.175.1.14\MWEB.12\BT\FlameGraph.BT.10.175.1.14.MWEB.12.-inet-ni.167.svg", "&lt;FlGraph&gt;")</f>
      </c>
      <c r="P18" s="1">
        <f>=HYPERLINK("10.175.1.14\MWEB.12\BT\FlameChart.BT.10.175.1.14.MWEB.12.-inet-ni.167.svg", "&lt;FlChart&gt;")</f>
      </c>
      <c r="Q18" s="0" t="s">
        <v>101</v>
      </c>
      <c r="R18" s="0" t="s">
        <v>145</v>
      </c>
      <c r="S18" s="0" t="s">
        <v>157</v>
      </c>
      <c r="T18" s="0" t="s">
        <v>1003</v>
      </c>
    </row>
    <row r="19">
      <c r="A19" s="0" t="s">
        <v>28</v>
      </c>
      <c r="B19" s="0" t="s">
        <v>30</v>
      </c>
      <c r="C19" s="0" t="s">
        <v>156</v>
      </c>
      <c r="D19" s="0" t="s">
        <v>1004</v>
      </c>
      <c r="E19" s="0" t="s">
        <v>1004</v>
      </c>
      <c r="F19" s="0" t="b">
        <v>0</v>
      </c>
      <c r="G19" s="0" t="s">
        <v>976</v>
      </c>
      <c r="H19" s="0" t="b">
        <v>0</v>
      </c>
      <c r="I19" s="0" t="s">
        <v>114</v>
      </c>
      <c r="J19" s="0">
        <v>12</v>
      </c>
      <c r="K19" s="0">
        <v>42</v>
      </c>
      <c r="L19" s="0">
        <v>159</v>
      </c>
      <c r="M19" s="1">
        <f>=HYPERLINK("10.175.1.14\MWEB.12\BT\EntityDetails.10.175.1.14.MWEB.12.-inet-online.159.xlsx", "&lt;Detail&gt;")</f>
      </c>
      <c r="N19" s="1">
        <f>=HYPERLINK("10.175.1.14\MWEB.12\BT\MetricGraphs.BT.10.175.1.14.MWEB.12.xlsx", "&lt;Metrics&gt;")</f>
      </c>
      <c r="O19" s="1">
        <f>=HYPERLINK("10.175.1.14\MWEB.12\BT\FlameGraph.BT.10.175.1.14.MWEB.12.-inet-online.159.svg", "&lt;FlGraph&gt;")</f>
      </c>
      <c r="P19" s="1">
        <f>=HYPERLINK("10.175.1.14\MWEB.12\BT\FlameChart.BT.10.175.1.14.MWEB.12.-inet-online.159.svg", "&lt;FlChart&gt;")</f>
      </c>
      <c r="Q19" s="0" t="s">
        <v>101</v>
      </c>
      <c r="R19" s="0" t="s">
        <v>145</v>
      </c>
      <c r="S19" s="0" t="s">
        <v>157</v>
      </c>
      <c r="T19" s="0" t="s">
        <v>1005</v>
      </c>
    </row>
    <row r="20">
      <c r="A20" s="0" t="s">
        <v>28</v>
      </c>
      <c r="B20" s="0" t="s">
        <v>30</v>
      </c>
      <c r="C20" s="0" t="s">
        <v>156</v>
      </c>
      <c r="D20" s="0" t="s">
        <v>1006</v>
      </c>
      <c r="E20" s="0" t="s">
        <v>1006</v>
      </c>
      <c r="F20" s="0" t="b">
        <v>0</v>
      </c>
      <c r="G20" s="0" t="s">
        <v>976</v>
      </c>
      <c r="H20" s="0" t="b">
        <v>0</v>
      </c>
      <c r="I20" s="0" t="s">
        <v>114</v>
      </c>
      <c r="J20" s="0">
        <v>12</v>
      </c>
      <c r="K20" s="0">
        <v>42</v>
      </c>
      <c r="L20" s="0">
        <v>164</v>
      </c>
      <c r="M20" s="1">
        <f>=HYPERLINK("10.175.1.14\MWEB.12\BT\EntityDetails.10.175.1.14.MWEB.12.-inet-postac.164.xlsx", "&lt;Detail&gt;")</f>
      </c>
      <c r="N20" s="1">
        <f>=HYPERLINK("10.175.1.14\MWEB.12\BT\MetricGraphs.BT.10.175.1.14.MWEB.12.xlsx", "&lt;Metrics&gt;")</f>
      </c>
      <c r="O20" s="1">
        <f>=HYPERLINK("10.175.1.14\MWEB.12\BT\FlameGraph.BT.10.175.1.14.MWEB.12.-inet-postac.164.svg", "&lt;FlGraph&gt;")</f>
      </c>
      <c r="P20" s="1">
        <f>=HYPERLINK("10.175.1.14\MWEB.12\BT\FlameChart.BT.10.175.1.14.MWEB.12.-inet-postac.164.svg", "&lt;FlChart&gt;")</f>
      </c>
      <c r="Q20" s="0" t="s">
        <v>101</v>
      </c>
      <c r="R20" s="0" t="s">
        <v>145</v>
      </c>
      <c r="S20" s="0" t="s">
        <v>157</v>
      </c>
      <c r="T20" s="0" t="s">
        <v>1007</v>
      </c>
    </row>
    <row r="21">
      <c r="A21" s="0" t="s">
        <v>28</v>
      </c>
      <c r="B21" s="0" t="s">
        <v>30</v>
      </c>
      <c r="C21" s="0" t="s">
        <v>156</v>
      </c>
      <c r="D21" s="0" t="s">
        <v>1008</v>
      </c>
      <c r="E21" s="0" t="s">
        <v>1008</v>
      </c>
      <c r="F21" s="0" t="b">
        <v>0</v>
      </c>
      <c r="G21" s="0" t="s">
        <v>976</v>
      </c>
      <c r="H21" s="0" t="b">
        <v>0</v>
      </c>
      <c r="I21" s="0" t="s">
        <v>114</v>
      </c>
      <c r="J21" s="0">
        <v>12</v>
      </c>
      <c r="K21" s="0">
        <v>42</v>
      </c>
      <c r="L21" s="0">
        <v>216</v>
      </c>
      <c r="M21" s="1">
        <f>=HYPERLINK("10.175.1.14\MWEB.12\BT\EntityDetails.10.175.1.14.MWEB.12.-inet-rwd.216.xlsx", "&lt;Detail&gt;")</f>
      </c>
      <c r="N21" s="1">
        <f>=HYPERLINK("10.175.1.14\MWEB.12\BT\MetricGraphs.BT.10.175.1.14.MWEB.12.xlsx", "&lt;Metrics&gt;")</f>
      </c>
      <c r="O21" s="1">
        <f>=HYPERLINK("10.175.1.14\MWEB.12\BT\FlameGraph.BT.10.175.1.14.MWEB.12.-inet-rwd.216.svg", "&lt;FlGraph&gt;")</f>
      </c>
      <c r="P21" s="1">
        <f>=HYPERLINK("10.175.1.14\MWEB.12\BT\FlameChart.BT.10.175.1.14.MWEB.12.-inet-rwd.216.svg", "&lt;FlChart&gt;")</f>
      </c>
      <c r="Q21" s="0" t="s">
        <v>101</v>
      </c>
      <c r="R21" s="0" t="s">
        <v>145</v>
      </c>
      <c r="S21" s="0" t="s">
        <v>157</v>
      </c>
      <c r="T21" s="0" t="s">
        <v>1009</v>
      </c>
    </row>
    <row r="22">
      <c r="A22" s="0" t="s">
        <v>28</v>
      </c>
      <c r="B22" s="0" t="s">
        <v>30</v>
      </c>
      <c r="C22" s="0" t="s">
        <v>156</v>
      </c>
      <c r="D22" s="0" t="s">
        <v>1010</v>
      </c>
      <c r="E22" s="0" t="s">
        <v>1010</v>
      </c>
      <c r="F22" s="0" t="b">
        <v>0</v>
      </c>
      <c r="G22" s="0" t="s">
        <v>976</v>
      </c>
      <c r="H22" s="0" t="b">
        <v>0</v>
      </c>
      <c r="I22" s="0" t="s">
        <v>114</v>
      </c>
      <c r="J22" s="0">
        <v>12</v>
      </c>
      <c r="K22" s="0">
        <v>42</v>
      </c>
      <c r="L22" s="0">
        <v>218</v>
      </c>
      <c r="M22" s="1">
        <f>=HYPERLINK("10.175.1.14\MWEB.12\BT\EntityDetails.10.175.1.14.MWEB.12.-inet-seamle.218.xlsx", "&lt;Detail&gt;")</f>
      </c>
      <c r="N22" s="1">
        <f>=HYPERLINK("10.175.1.14\MWEB.12\BT\MetricGraphs.BT.10.175.1.14.MWEB.12.xlsx", "&lt;Metrics&gt;")</f>
      </c>
      <c r="O22" s="1">
        <f>=HYPERLINK("10.175.1.14\MWEB.12\BT\FlameGraph.BT.10.175.1.14.MWEB.12.-inet-seamle.218.svg", "&lt;FlGraph&gt;")</f>
      </c>
      <c r="P22" s="1">
        <f>=HYPERLINK("10.175.1.14\MWEB.12\BT\FlameChart.BT.10.175.1.14.MWEB.12.-inet-seamle.218.svg", "&lt;FlChart&gt;")</f>
      </c>
      <c r="Q22" s="0" t="s">
        <v>101</v>
      </c>
      <c r="R22" s="0" t="s">
        <v>145</v>
      </c>
      <c r="S22" s="0" t="s">
        <v>157</v>
      </c>
      <c r="T22" s="0" t="s">
        <v>1011</v>
      </c>
    </row>
    <row r="23">
      <c r="A23" s="0" t="s">
        <v>28</v>
      </c>
      <c r="B23" s="0" t="s">
        <v>30</v>
      </c>
      <c r="C23" s="0" t="s">
        <v>156</v>
      </c>
      <c r="D23" s="0" t="s">
        <v>1012</v>
      </c>
      <c r="E23" s="0" t="s">
        <v>1012</v>
      </c>
      <c r="F23" s="0" t="b">
        <v>0</v>
      </c>
      <c r="G23" s="0" t="s">
        <v>976</v>
      </c>
      <c r="H23" s="0" t="b">
        <v>0</v>
      </c>
      <c r="I23" s="0" t="s">
        <v>114</v>
      </c>
      <c r="J23" s="0">
        <v>12</v>
      </c>
      <c r="K23" s="0">
        <v>42</v>
      </c>
      <c r="L23" s="0">
        <v>165</v>
      </c>
      <c r="M23" s="1">
        <f>=HYPERLINK("10.175.1.14\MWEB.12\BT\EntityDetails.10.175.1.14.MWEB.12.-inet-shiryo.165.xlsx", "&lt;Detail&gt;")</f>
      </c>
      <c r="N23" s="1">
        <f>=HYPERLINK("10.175.1.14\MWEB.12\BT\MetricGraphs.BT.10.175.1.14.MWEB.12.xlsx", "&lt;Metrics&gt;")</f>
      </c>
      <c r="O23" s="1">
        <f>=HYPERLINK("10.175.1.14\MWEB.12\BT\FlameGraph.BT.10.175.1.14.MWEB.12.-inet-shiryo.165.svg", "&lt;FlGraph&gt;")</f>
      </c>
      <c r="P23" s="1">
        <f>=HYPERLINK("10.175.1.14\MWEB.12\BT\FlameChart.BT.10.175.1.14.MWEB.12.-inet-shiryo.165.svg", "&lt;FlChart&gt;")</f>
      </c>
      <c r="Q23" s="0" t="s">
        <v>101</v>
      </c>
      <c r="R23" s="0" t="s">
        <v>145</v>
      </c>
      <c r="S23" s="0" t="s">
        <v>157</v>
      </c>
      <c r="T23" s="0" t="s">
        <v>1013</v>
      </c>
    </row>
    <row r="24">
      <c r="A24" s="0" t="s">
        <v>28</v>
      </c>
      <c r="B24" s="0" t="s">
        <v>30</v>
      </c>
      <c r="C24" s="0" t="s">
        <v>156</v>
      </c>
      <c r="D24" s="0" t="s">
        <v>1014</v>
      </c>
      <c r="E24" s="0" t="s">
        <v>1014</v>
      </c>
      <c r="F24" s="0" t="b">
        <v>0</v>
      </c>
      <c r="G24" s="0" t="s">
        <v>976</v>
      </c>
      <c r="H24" s="0" t="b">
        <v>0</v>
      </c>
      <c r="I24" s="0" t="s">
        <v>114</v>
      </c>
      <c r="J24" s="0">
        <v>12</v>
      </c>
      <c r="K24" s="0">
        <v>42</v>
      </c>
      <c r="L24" s="0">
        <v>163</v>
      </c>
      <c r="M24" s="1">
        <f>=HYPERLINK("10.175.1.14\MWEB.12\BT\EntityDetails.10.175.1.14.MWEB.12.-inet-siryo.163.xlsx", "&lt;Detail&gt;")</f>
      </c>
      <c r="N24" s="1">
        <f>=HYPERLINK("10.175.1.14\MWEB.12\BT\MetricGraphs.BT.10.175.1.14.MWEB.12.xlsx", "&lt;Metrics&gt;")</f>
      </c>
      <c r="O24" s="1">
        <f>=HYPERLINK("10.175.1.14\MWEB.12\BT\FlameGraph.BT.10.175.1.14.MWEB.12.-inet-siryo.163.svg", "&lt;FlGraph&gt;")</f>
      </c>
      <c r="P24" s="1">
        <f>=HYPERLINK("10.175.1.14\MWEB.12\BT\FlameChart.BT.10.175.1.14.MWEB.12.-inet-siryo.163.svg", "&lt;FlChart&gt;")</f>
      </c>
      <c r="Q24" s="0" t="s">
        <v>101</v>
      </c>
      <c r="R24" s="0" t="s">
        <v>145</v>
      </c>
      <c r="S24" s="0" t="s">
        <v>157</v>
      </c>
      <c r="T24" s="0" t="s">
        <v>1015</v>
      </c>
    </row>
    <row r="25">
      <c r="A25" s="0" t="s">
        <v>28</v>
      </c>
      <c r="B25" s="0" t="s">
        <v>30</v>
      </c>
      <c r="C25" s="0" t="s">
        <v>156</v>
      </c>
      <c r="D25" s="0" t="s">
        <v>1016</v>
      </c>
      <c r="E25" s="0" t="s">
        <v>1016</v>
      </c>
      <c r="F25" s="0" t="b">
        <v>0</v>
      </c>
      <c r="G25" s="0" t="s">
        <v>976</v>
      </c>
      <c r="H25" s="0" t="b">
        <v>0</v>
      </c>
      <c r="I25" s="0" t="s">
        <v>114</v>
      </c>
      <c r="J25" s="0">
        <v>12</v>
      </c>
      <c r="K25" s="0">
        <v>42</v>
      </c>
      <c r="L25" s="0">
        <v>161</v>
      </c>
      <c r="M25" s="1">
        <f>=HYPERLINK("10.175.1.14\MWEB.12\BT\EntityDetails.10.175.1.14.MWEB.12.-inet-toto.161.xlsx", "&lt;Detail&gt;")</f>
      </c>
      <c r="N25" s="1">
        <f>=HYPERLINK("10.175.1.14\MWEB.12\BT\MetricGraphs.BT.10.175.1.14.MWEB.12.xlsx", "&lt;Metrics&gt;")</f>
      </c>
      <c r="O25" s="1">
        <f>=HYPERLINK("10.175.1.14\MWEB.12\BT\FlameGraph.BT.10.175.1.14.MWEB.12.-inet-toto.161.svg", "&lt;FlGraph&gt;")</f>
      </c>
      <c r="P25" s="1">
        <f>=HYPERLINK("10.175.1.14\MWEB.12\BT\FlameChart.BT.10.175.1.14.MWEB.12.-inet-toto.161.svg", "&lt;FlChart&gt;")</f>
      </c>
      <c r="Q25" s="0" t="s">
        <v>101</v>
      </c>
      <c r="R25" s="0" t="s">
        <v>145</v>
      </c>
      <c r="S25" s="0" t="s">
        <v>157</v>
      </c>
      <c r="T25" s="0" t="s">
        <v>1017</v>
      </c>
    </row>
    <row r="26">
      <c r="A26" s="0" t="s">
        <v>28</v>
      </c>
      <c r="B26" s="0" t="s">
        <v>30</v>
      </c>
      <c r="C26" s="0" t="s">
        <v>156</v>
      </c>
      <c r="D26" s="0" t="s">
        <v>1018</v>
      </c>
      <c r="E26" s="0" t="s">
        <v>1018</v>
      </c>
      <c r="F26" s="0" t="b">
        <v>0</v>
      </c>
      <c r="G26" s="0" t="s">
        <v>976</v>
      </c>
      <c r="H26" s="0" t="b">
        <v>0</v>
      </c>
      <c r="I26" s="0" t="s">
        <v>114</v>
      </c>
      <c r="J26" s="0">
        <v>12</v>
      </c>
      <c r="K26" s="0">
        <v>42</v>
      </c>
      <c r="L26" s="0">
        <v>162</v>
      </c>
      <c r="M26" s="1">
        <f>=HYPERLINK("10.175.1.14\MWEB.12\BT\EntityDetails.10.175.1.14.MWEB.12.-inet-TotoSi.162.xlsx", "&lt;Detail&gt;")</f>
      </c>
      <c r="N26" s="1">
        <f>=HYPERLINK("10.175.1.14\MWEB.12\BT\MetricGraphs.BT.10.175.1.14.MWEB.12.xlsx", "&lt;Metrics&gt;")</f>
      </c>
      <c r="O26" s="1">
        <f>=HYPERLINK("10.175.1.14\MWEB.12\BT\FlameGraph.BT.10.175.1.14.MWEB.12.-inet-TotoSi.162.svg", "&lt;FlGraph&gt;")</f>
      </c>
      <c r="P26" s="1">
        <f>=HYPERLINK("10.175.1.14\MWEB.12\BT\FlameChart.BT.10.175.1.14.MWEB.12.-inet-TotoSi.162.svg", "&lt;FlChart&gt;")</f>
      </c>
      <c r="Q26" s="0" t="s">
        <v>101</v>
      </c>
      <c r="R26" s="0" t="s">
        <v>145</v>
      </c>
      <c r="S26" s="0" t="s">
        <v>157</v>
      </c>
      <c r="T26" s="0" t="s">
        <v>1019</v>
      </c>
    </row>
    <row r="27">
      <c r="A27" s="0" t="s">
        <v>28</v>
      </c>
      <c r="B27" s="0" t="s">
        <v>30</v>
      </c>
      <c r="C27" s="0" t="s">
        <v>156</v>
      </c>
      <c r="D27" s="0" t="s">
        <v>1020</v>
      </c>
      <c r="E27" s="0" t="s">
        <v>1020</v>
      </c>
      <c r="F27" s="0" t="b">
        <v>0</v>
      </c>
      <c r="G27" s="0" t="s">
        <v>976</v>
      </c>
      <c r="H27" s="0" t="b">
        <v>0</v>
      </c>
      <c r="I27" s="0" t="s">
        <v>114</v>
      </c>
      <c r="J27" s="0">
        <v>12</v>
      </c>
      <c r="K27" s="0">
        <v>42</v>
      </c>
      <c r="L27" s="0">
        <v>439</v>
      </c>
      <c r="M27" s="1">
        <f>=HYPERLINK("10.175.1.14\MWEB.12\BT\EntityDetails.10.175.1.14.MWEB.12.-intruvert-j.439.xlsx", "&lt;Detail&gt;")</f>
      </c>
      <c r="N27" s="1">
        <f>=HYPERLINK("10.175.1.14\MWEB.12\BT\MetricGraphs.BT.10.175.1.14.MWEB.12.xlsx", "&lt;Metrics&gt;")</f>
      </c>
      <c r="O27" s="1">
        <f>=HYPERLINK("10.175.1.14\MWEB.12\BT\FlameGraph.BT.10.175.1.14.MWEB.12.-intruvert-j.439.svg", "&lt;FlGraph&gt;")</f>
      </c>
      <c r="P27" s="1">
        <f>=HYPERLINK("10.175.1.14\MWEB.12\BT\FlameChart.BT.10.175.1.14.MWEB.12.-intruvert-j.439.svg", "&lt;FlChart&gt;")</f>
      </c>
      <c r="Q27" s="0" t="s">
        <v>101</v>
      </c>
      <c r="R27" s="0" t="s">
        <v>145</v>
      </c>
      <c r="S27" s="0" t="s">
        <v>157</v>
      </c>
      <c r="T27" s="0" t="s">
        <v>1021</v>
      </c>
    </row>
    <row r="28">
      <c r="A28" s="0" t="s">
        <v>28</v>
      </c>
      <c r="B28" s="0" t="s">
        <v>30</v>
      </c>
      <c r="C28" s="0" t="s">
        <v>156</v>
      </c>
      <c r="D28" s="0" t="s">
        <v>1022</v>
      </c>
      <c r="E28" s="0" t="s">
        <v>1022</v>
      </c>
      <c r="F28" s="0" t="b">
        <v>0</v>
      </c>
      <c r="G28" s="0" t="s">
        <v>976</v>
      </c>
      <c r="H28" s="0" t="b">
        <v>0</v>
      </c>
      <c r="I28" s="0" t="s">
        <v>114</v>
      </c>
      <c r="J28" s="0">
        <v>12</v>
      </c>
      <c r="K28" s="0">
        <v>42</v>
      </c>
      <c r="L28" s="0">
        <v>176</v>
      </c>
      <c r="M28" s="1">
        <f>=HYPERLINK("10.175.1.14\MWEB.12\BT\EntityDetails.10.175.1.14.MWEB.12.-IPJSETTLEME.176.xlsx", "&lt;Detail&gt;")</f>
      </c>
      <c r="N28" s="1">
        <f>=HYPERLINK("10.175.1.14\MWEB.12\BT\MetricGraphs.BT.10.175.1.14.MWEB.12.xlsx", "&lt;Metrics&gt;")</f>
      </c>
      <c r="O28" s="1">
        <f>=HYPERLINK("10.175.1.14\MWEB.12\BT\FlameGraph.BT.10.175.1.14.MWEB.12.-IPJSETTLEME.176.svg", "&lt;FlGraph&gt;")</f>
      </c>
      <c r="P28" s="1">
        <f>=HYPERLINK("10.175.1.14\MWEB.12\BT\FlameChart.BT.10.175.1.14.MWEB.12.-IPJSETTLEME.176.svg", "&lt;FlChart&gt;")</f>
      </c>
      <c r="Q28" s="0" t="s">
        <v>101</v>
      </c>
      <c r="R28" s="0" t="s">
        <v>145</v>
      </c>
      <c r="S28" s="0" t="s">
        <v>157</v>
      </c>
      <c r="T28" s="0" t="s">
        <v>1023</v>
      </c>
    </row>
    <row r="29">
      <c r="A29" s="0" t="s">
        <v>28</v>
      </c>
      <c r="B29" s="0" t="s">
        <v>30</v>
      </c>
      <c r="C29" s="0" t="s">
        <v>156</v>
      </c>
      <c r="D29" s="0" t="s">
        <v>1024</v>
      </c>
      <c r="E29" s="0" t="s">
        <v>1024</v>
      </c>
      <c r="F29" s="0" t="b">
        <v>0</v>
      </c>
      <c r="G29" s="0" t="s">
        <v>976</v>
      </c>
      <c r="H29" s="0" t="b">
        <v>0</v>
      </c>
      <c r="I29" s="0" t="s">
        <v>114</v>
      </c>
      <c r="J29" s="0">
        <v>12</v>
      </c>
      <c r="K29" s="0">
        <v>42</v>
      </c>
      <c r="L29" s="0">
        <v>177</v>
      </c>
      <c r="M29" s="1">
        <f>=HYPERLINK("10.175.1.14\MWEB.12\BT\EntityDetails.10.175.1.14.MWEB.12.-JConnect-ac.177.xlsx", "&lt;Detail&gt;")</f>
      </c>
      <c r="N29" s="1">
        <f>=HYPERLINK("10.175.1.14\MWEB.12\BT\MetricGraphs.BT.10.175.1.14.MWEB.12.xlsx", "&lt;Metrics&gt;")</f>
      </c>
      <c r="O29" s="1">
        <f>=HYPERLINK("10.175.1.14\MWEB.12\BT\FlameGraph.BT.10.175.1.14.MWEB.12.-JConnect-ac.177.svg", "&lt;FlGraph&gt;")</f>
      </c>
      <c r="P29" s="1">
        <f>=HYPERLINK("10.175.1.14\MWEB.12\BT\FlameChart.BT.10.175.1.14.MWEB.12.-JConnect-ac.177.svg", "&lt;FlChart&gt;")</f>
      </c>
      <c r="Q29" s="0" t="s">
        <v>101</v>
      </c>
      <c r="R29" s="0" t="s">
        <v>145</v>
      </c>
      <c r="S29" s="0" t="s">
        <v>157</v>
      </c>
      <c r="T29" s="0" t="s">
        <v>1025</v>
      </c>
    </row>
    <row r="30">
      <c r="A30" s="0" t="s">
        <v>28</v>
      </c>
      <c r="B30" s="0" t="s">
        <v>30</v>
      </c>
      <c r="C30" s="0" t="s">
        <v>156</v>
      </c>
      <c r="D30" s="0" t="s">
        <v>1026</v>
      </c>
      <c r="E30" s="0" t="s">
        <v>1026</v>
      </c>
      <c r="F30" s="0" t="b">
        <v>0</v>
      </c>
      <c r="G30" s="0" t="s">
        <v>976</v>
      </c>
      <c r="H30" s="0" t="b">
        <v>0</v>
      </c>
      <c r="I30" s="0" t="s">
        <v>114</v>
      </c>
      <c r="J30" s="0">
        <v>12</v>
      </c>
      <c r="K30" s="0">
        <v>42</v>
      </c>
      <c r="L30" s="0">
        <v>137</v>
      </c>
      <c r="M30" s="1">
        <f>=HYPERLINK("10.175.1.14\MWEB.12\BT\EntityDetails.10.175.1.14.MWEB.12.-management-.137.xlsx", "&lt;Detail&gt;")</f>
      </c>
      <c r="N30" s="1">
        <f>=HYPERLINK("10.175.1.14\MWEB.12\BT\MetricGraphs.BT.10.175.1.14.MWEB.12.xlsx", "&lt;Metrics&gt;")</f>
      </c>
      <c r="O30" s="1">
        <f>=HYPERLINK("10.175.1.14\MWEB.12\BT\FlameGraph.BT.10.175.1.14.MWEB.12.-management-.137.svg", "&lt;FlGraph&gt;")</f>
      </c>
      <c r="P30" s="1">
        <f>=HYPERLINK("10.175.1.14\MWEB.12\BT\FlameChart.BT.10.175.1.14.MWEB.12.-management-.137.svg", "&lt;FlChart&gt;")</f>
      </c>
      <c r="Q30" s="0" t="s">
        <v>101</v>
      </c>
      <c r="R30" s="0" t="s">
        <v>145</v>
      </c>
      <c r="S30" s="0" t="s">
        <v>157</v>
      </c>
      <c r="T30" s="0" t="s">
        <v>1027</v>
      </c>
    </row>
    <row r="31">
      <c r="A31" s="0" t="s">
        <v>28</v>
      </c>
      <c r="B31" s="0" t="s">
        <v>30</v>
      </c>
      <c r="C31" s="0" t="s">
        <v>156</v>
      </c>
      <c r="D31" s="0" t="s">
        <v>1028</v>
      </c>
      <c r="E31" s="0" t="s">
        <v>1028</v>
      </c>
      <c r="F31" s="0" t="b">
        <v>0</v>
      </c>
      <c r="G31" s="0" t="s">
        <v>976</v>
      </c>
      <c r="H31" s="0" t="b">
        <v>0</v>
      </c>
      <c r="I31" s="0" t="s">
        <v>114</v>
      </c>
      <c r="J31" s="0">
        <v>12</v>
      </c>
      <c r="K31" s="0">
        <v>42</v>
      </c>
      <c r="L31" s="0">
        <v>409</v>
      </c>
      <c r="M31" s="1">
        <f>=HYPERLINK("10.175.1.14\MWEB.12\BT\EntityDetails.10.175.1.14.MWEB.12.-WEB-INF-jsp.409.xlsx", "&lt;Detail&gt;")</f>
      </c>
      <c r="N31" s="1">
        <f>=HYPERLINK("10.175.1.14\MWEB.12\BT\MetricGraphs.BT.10.175.1.14.MWEB.12.xlsx", "&lt;Metrics&gt;")</f>
      </c>
      <c r="O31" s="1">
        <f>=HYPERLINK("10.175.1.14\MWEB.12\BT\FlameGraph.BT.10.175.1.14.MWEB.12.-WEB-INF-jsp.409.svg", "&lt;FlGraph&gt;")</f>
      </c>
      <c r="P31" s="1">
        <f>=HYPERLINK("10.175.1.14\MWEB.12\BT\FlameChart.BT.10.175.1.14.MWEB.12.-WEB-INF-jsp.409.svg", "&lt;FlChart&gt;")</f>
      </c>
      <c r="Q31" s="0" t="s">
        <v>101</v>
      </c>
      <c r="R31" s="0" t="s">
        <v>145</v>
      </c>
      <c r="S31" s="0" t="s">
        <v>157</v>
      </c>
      <c r="T31" s="0" t="s">
        <v>1029</v>
      </c>
    </row>
    <row r="32">
      <c r="A32" s="0" t="s">
        <v>28</v>
      </c>
      <c r="B32" s="0" t="s">
        <v>30</v>
      </c>
      <c r="C32" s="0" t="s">
        <v>156</v>
      </c>
      <c r="D32" s="0" t="s">
        <v>1030</v>
      </c>
      <c r="E32" s="0" t="s">
        <v>1030</v>
      </c>
      <c r="F32" s="0" t="b">
        <v>0</v>
      </c>
      <c r="G32" s="0" t="s">
        <v>1031</v>
      </c>
      <c r="H32" s="0" t="b">
        <v>0</v>
      </c>
      <c r="I32" s="0" t="s">
        <v>114</v>
      </c>
      <c r="J32" s="0">
        <v>12</v>
      </c>
      <c r="K32" s="0">
        <v>42</v>
      </c>
      <c r="L32" s="0">
        <v>151</v>
      </c>
      <c r="M32" s="1">
        <f>=HYPERLINK("10.175.1.14\MWEB.12\BT\EntityDetails.10.175.1.14.MWEB.12._APPDYNAMICS.151.xlsx", "&lt;Detail&gt;")</f>
      </c>
      <c r="N32" s="1">
        <f>=HYPERLINK("10.175.1.14\MWEB.12\BT\MetricGraphs.BT.10.175.1.14.MWEB.12.xlsx", "&lt;Metrics&gt;")</f>
      </c>
      <c r="O32" s="1">
        <f>=HYPERLINK("10.175.1.14\MWEB.12\BT\FlameGraph.BT.10.175.1.14.MWEB.12._APPDYNAMICS.151.svg", "&lt;FlGraph&gt;")</f>
      </c>
      <c r="P32" s="1">
        <f>=HYPERLINK("10.175.1.14\MWEB.12\BT\FlameChart.BT.10.175.1.14.MWEB.12._APPDYNAMICS.151.svg", "&lt;FlChart&gt;")</f>
      </c>
      <c r="Q32" s="0" t="s">
        <v>101</v>
      </c>
      <c r="R32" s="0" t="s">
        <v>145</v>
      </c>
      <c r="S32" s="0" t="s">
        <v>157</v>
      </c>
      <c r="T32" s="0" t="s">
        <v>1032</v>
      </c>
    </row>
    <row r="33">
      <c r="A33" s="0" t="s">
        <v>28</v>
      </c>
      <c r="B33" s="0" t="s">
        <v>30</v>
      </c>
      <c r="C33" s="0" t="s">
        <v>158</v>
      </c>
      <c r="D33" s="0" t="s">
        <v>984</v>
      </c>
      <c r="E33" s="0" t="s">
        <v>984</v>
      </c>
      <c r="F33" s="0" t="b">
        <v>0</v>
      </c>
      <c r="G33" s="0" t="s">
        <v>976</v>
      </c>
      <c r="H33" s="0" t="b">
        <v>0</v>
      </c>
      <c r="I33" s="0" t="s">
        <v>114</v>
      </c>
      <c r="J33" s="0">
        <v>12</v>
      </c>
      <c r="K33" s="0">
        <v>39</v>
      </c>
      <c r="L33" s="0">
        <v>108</v>
      </c>
      <c r="M33" s="1">
        <f>=HYPERLINK("10.175.1.14\MWEB.12\BT\EntityDetails.10.175.1.14.MWEB.12.-HealthMonit.108.xlsx", "&lt;Detail&gt;")</f>
      </c>
      <c r="N33" s="1">
        <f>=HYPERLINK("10.175.1.14\MWEB.12\BT\MetricGraphs.BT.10.175.1.14.MWEB.12.xlsx", "&lt;Metrics&gt;")</f>
      </c>
      <c r="O33" s="1">
        <f>=HYPERLINK("10.175.1.14\MWEB.12\BT\FlameGraph.BT.10.175.1.14.MWEB.12.-HealthMonit.108.svg", "&lt;FlGraph&gt;")</f>
      </c>
      <c r="P33" s="1">
        <f>=HYPERLINK("10.175.1.14\MWEB.12\BT\FlameChart.BT.10.175.1.14.MWEB.12.-HealthMonit.108.svg", "&lt;FlChart&gt;")</f>
      </c>
      <c r="Q33" s="0" t="s">
        <v>101</v>
      </c>
      <c r="R33" s="0" t="s">
        <v>145</v>
      </c>
      <c r="S33" s="0" t="s">
        <v>159</v>
      </c>
      <c r="T33" s="0" t="s">
        <v>1033</v>
      </c>
    </row>
    <row r="34">
      <c r="A34" s="0" t="s">
        <v>28</v>
      </c>
      <c r="B34" s="0" t="s">
        <v>30</v>
      </c>
      <c r="C34" s="0" t="s">
        <v>158</v>
      </c>
      <c r="D34" s="0" t="s">
        <v>1034</v>
      </c>
      <c r="E34" s="0" t="s">
        <v>1034</v>
      </c>
      <c r="F34" s="0" t="b">
        <v>0</v>
      </c>
      <c r="G34" s="0" t="s">
        <v>976</v>
      </c>
      <c r="H34" s="0" t="b">
        <v>0</v>
      </c>
      <c r="I34" s="0" t="s">
        <v>114</v>
      </c>
      <c r="J34" s="0">
        <v>12</v>
      </c>
      <c r="K34" s="0">
        <v>39</v>
      </c>
      <c r="L34" s="0">
        <v>212</v>
      </c>
      <c r="M34" s="1">
        <f>=HYPERLINK("10.175.1.14\MWEB.12\BT\EntityDetails.10.175.1.14.MWEB.12.-inet-nyukai.212.xlsx", "&lt;Detail&gt;")</f>
      </c>
      <c r="N34" s="1">
        <f>=HYPERLINK("10.175.1.14\MWEB.12\BT\MetricGraphs.BT.10.175.1.14.MWEB.12.xlsx", "&lt;Metrics&gt;")</f>
      </c>
      <c r="O34" s="1">
        <f>=HYPERLINK("10.175.1.14\MWEB.12\BT\FlameGraph.BT.10.175.1.14.MWEB.12.-inet-nyukai.212.svg", "&lt;FlGraph&gt;")</f>
      </c>
      <c r="P34" s="1">
        <f>=HYPERLINK("10.175.1.14\MWEB.12\BT\FlameChart.BT.10.175.1.14.MWEB.12.-inet-nyukai.212.svg", "&lt;FlChart&gt;")</f>
      </c>
      <c r="Q34" s="0" t="s">
        <v>101</v>
      </c>
      <c r="R34" s="0" t="s">
        <v>145</v>
      </c>
      <c r="S34" s="0" t="s">
        <v>159</v>
      </c>
      <c r="T34" s="0" t="s">
        <v>1035</v>
      </c>
    </row>
    <row r="35">
      <c r="A35" s="0" t="s">
        <v>28</v>
      </c>
      <c r="B35" s="0" t="s">
        <v>30</v>
      </c>
      <c r="C35" s="0" t="s">
        <v>158</v>
      </c>
      <c r="D35" s="0" t="s">
        <v>1026</v>
      </c>
      <c r="E35" s="0" t="s">
        <v>1026</v>
      </c>
      <c r="F35" s="0" t="b">
        <v>0</v>
      </c>
      <c r="G35" s="0" t="s">
        <v>976</v>
      </c>
      <c r="H35" s="0" t="b">
        <v>0</v>
      </c>
      <c r="I35" s="0" t="s">
        <v>114</v>
      </c>
      <c r="J35" s="0">
        <v>12</v>
      </c>
      <c r="K35" s="0">
        <v>39</v>
      </c>
      <c r="L35" s="0">
        <v>107</v>
      </c>
      <c r="M35" s="1">
        <f>=HYPERLINK("10.175.1.14\MWEB.12\BT\EntityDetails.10.175.1.14.MWEB.12.-management-.107.xlsx", "&lt;Detail&gt;")</f>
      </c>
      <c r="N35" s="1">
        <f>=HYPERLINK("10.175.1.14\MWEB.12\BT\MetricGraphs.BT.10.175.1.14.MWEB.12.xlsx", "&lt;Metrics&gt;")</f>
      </c>
      <c r="O35" s="1">
        <f>=HYPERLINK("10.175.1.14\MWEB.12\BT\FlameGraph.BT.10.175.1.14.MWEB.12.-management-.107.svg", "&lt;FlGraph&gt;")</f>
      </c>
      <c r="P35" s="1">
        <f>=HYPERLINK("10.175.1.14\MWEB.12\BT\FlameChart.BT.10.175.1.14.MWEB.12.-management-.107.svg", "&lt;FlChart&gt;")</f>
      </c>
      <c r="Q35" s="0" t="s">
        <v>101</v>
      </c>
      <c r="R35" s="0" t="s">
        <v>145</v>
      </c>
      <c r="S35" s="0" t="s">
        <v>159</v>
      </c>
      <c r="T35" s="0" t="s">
        <v>1036</v>
      </c>
    </row>
    <row r="36">
      <c r="A36" s="0" t="s">
        <v>28</v>
      </c>
      <c r="B36" s="0" t="s">
        <v>30</v>
      </c>
      <c r="C36" s="0" t="s">
        <v>158</v>
      </c>
      <c r="D36" s="0" t="s">
        <v>1037</v>
      </c>
      <c r="E36" s="0" t="s">
        <v>1037</v>
      </c>
      <c r="F36" s="0" t="b">
        <v>0</v>
      </c>
      <c r="G36" s="0" t="s">
        <v>976</v>
      </c>
      <c r="H36" s="0" t="b">
        <v>0</v>
      </c>
      <c r="I36" s="0" t="s">
        <v>114</v>
      </c>
      <c r="J36" s="0">
        <v>12</v>
      </c>
      <c r="K36" s="0">
        <v>39</v>
      </c>
      <c r="L36" s="0">
        <v>209</v>
      </c>
      <c r="M36" s="1">
        <f>=HYPERLINK("10.175.1.14\MWEB.12\BT\EntityDetails.10.175.1.14.MWEB.12.-net-nyukai.209.xlsx", "&lt;Detail&gt;")</f>
      </c>
      <c r="N36" s="1">
        <f>=HYPERLINK("10.175.1.14\MWEB.12\BT\MetricGraphs.BT.10.175.1.14.MWEB.12.xlsx", "&lt;Metrics&gt;")</f>
      </c>
      <c r="O36" s="1">
        <f>=HYPERLINK("10.175.1.14\MWEB.12\BT\FlameGraph.BT.10.175.1.14.MWEB.12.-net-nyukai.209.svg", "&lt;FlGraph&gt;")</f>
      </c>
      <c r="P36" s="1">
        <f>=HYPERLINK("10.175.1.14\MWEB.12\BT\FlameChart.BT.10.175.1.14.MWEB.12.-net-nyukai.209.svg", "&lt;FlChart&gt;")</f>
      </c>
      <c r="Q36" s="0" t="s">
        <v>101</v>
      </c>
      <c r="R36" s="0" t="s">
        <v>145</v>
      </c>
      <c r="S36" s="0" t="s">
        <v>159</v>
      </c>
      <c r="T36" s="0" t="s">
        <v>1038</v>
      </c>
    </row>
    <row r="37">
      <c r="A37" s="0" t="s">
        <v>28</v>
      </c>
      <c r="B37" s="0" t="s">
        <v>30</v>
      </c>
      <c r="C37" s="0" t="s">
        <v>158</v>
      </c>
      <c r="D37" s="0" t="s">
        <v>1039</v>
      </c>
      <c r="E37" s="0" t="s">
        <v>1039</v>
      </c>
      <c r="F37" s="0" t="b">
        <v>0</v>
      </c>
      <c r="G37" s="0" t="s">
        <v>976</v>
      </c>
      <c r="H37" s="0" t="b">
        <v>0</v>
      </c>
      <c r="I37" s="0" t="s">
        <v>114</v>
      </c>
      <c r="J37" s="0">
        <v>12</v>
      </c>
      <c r="K37" s="0">
        <v>39</v>
      </c>
      <c r="L37" s="0">
        <v>124</v>
      </c>
      <c r="M37" s="1">
        <f>=HYPERLINK("10.175.1.14\MWEB.12\BT\EntityDetails.10.175.1.14.MWEB.12.-online-addr.124.xlsx", "&lt;Detail&gt;")</f>
      </c>
      <c r="N37" s="1">
        <f>=HYPERLINK("10.175.1.14\MWEB.12\BT\MetricGraphs.BT.10.175.1.14.MWEB.12.xlsx", "&lt;Metrics&gt;")</f>
      </c>
      <c r="O37" s="1">
        <f>=HYPERLINK("10.175.1.14\MWEB.12\BT\FlameGraph.BT.10.175.1.14.MWEB.12.-online-addr.124.svg", "&lt;FlGraph&gt;")</f>
      </c>
      <c r="P37" s="1">
        <f>=HYPERLINK("10.175.1.14\MWEB.12\BT\FlameChart.BT.10.175.1.14.MWEB.12.-online-addr.124.svg", "&lt;FlChart&gt;")</f>
      </c>
      <c r="Q37" s="0" t="s">
        <v>101</v>
      </c>
      <c r="R37" s="0" t="s">
        <v>145</v>
      </c>
      <c r="S37" s="0" t="s">
        <v>159</v>
      </c>
      <c r="T37" s="0" t="s">
        <v>1040</v>
      </c>
    </row>
    <row r="38">
      <c r="A38" s="0" t="s">
        <v>28</v>
      </c>
      <c r="B38" s="0" t="s">
        <v>30</v>
      </c>
      <c r="C38" s="0" t="s">
        <v>158</v>
      </c>
      <c r="D38" s="0" t="s">
        <v>1041</v>
      </c>
      <c r="E38" s="0" t="s">
        <v>1041</v>
      </c>
      <c r="F38" s="0" t="b">
        <v>0</v>
      </c>
      <c r="G38" s="0" t="s">
        <v>976</v>
      </c>
      <c r="H38" s="0" t="b">
        <v>0</v>
      </c>
      <c r="I38" s="0" t="s">
        <v>114</v>
      </c>
      <c r="J38" s="0">
        <v>12</v>
      </c>
      <c r="K38" s="0">
        <v>39</v>
      </c>
      <c r="L38" s="0">
        <v>130</v>
      </c>
      <c r="M38" s="1">
        <f>=HYPERLINK("10.175.1.14\MWEB.12\BT\EntityDetails.10.175.1.14.MWEB.12.-online-bank.130.xlsx", "&lt;Detail&gt;")</f>
      </c>
      <c r="N38" s="1">
        <f>=HYPERLINK("10.175.1.14\MWEB.12\BT\MetricGraphs.BT.10.175.1.14.MWEB.12.xlsx", "&lt;Metrics&gt;")</f>
      </c>
      <c r="O38" s="1">
        <f>=HYPERLINK("10.175.1.14\MWEB.12\BT\FlameGraph.BT.10.175.1.14.MWEB.12.-online-bank.130.svg", "&lt;FlGraph&gt;")</f>
      </c>
      <c r="P38" s="1">
        <f>=HYPERLINK("10.175.1.14\MWEB.12\BT\FlameChart.BT.10.175.1.14.MWEB.12.-online-bank.130.svg", "&lt;FlChart&gt;")</f>
      </c>
      <c r="Q38" s="0" t="s">
        <v>101</v>
      </c>
      <c r="R38" s="0" t="s">
        <v>145</v>
      </c>
      <c r="S38" s="0" t="s">
        <v>159</v>
      </c>
      <c r="T38" s="0" t="s">
        <v>1042</v>
      </c>
    </row>
    <row r="39">
      <c r="A39" s="0" t="s">
        <v>28</v>
      </c>
      <c r="B39" s="0" t="s">
        <v>30</v>
      </c>
      <c r="C39" s="0" t="s">
        <v>158</v>
      </c>
      <c r="D39" s="0" t="s">
        <v>1043</v>
      </c>
      <c r="E39" s="0" t="s">
        <v>1043</v>
      </c>
      <c r="F39" s="0" t="b">
        <v>0</v>
      </c>
      <c r="G39" s="0" t="s">
        <v>976</v>
      </c>
      <c r="H39" s="0" t="b">
        <v>0</v>
      </c>
      <c r="I39" s="0" t="s">
        <v>114</v>
      </c>
      <c r="J39" s="0">
        <v>12</v>
      </c>
      <c r="K39" s="0">
        <v>39</v>
      </c>
      <c r="L39" s="0">
        <v>131</v>
      </c>
      <c r="M39" s="1">
        <f>=HYPERLINK("10.175.1.14\MWEB.12\BT\EntityDetails.10.175.1.14.MWEB.12.-online-bank.131.xlsx", "&lt;Detail&gt;")</f>
      </c>
      <c r="N39" s="1">
        <f>=HYPERLINK("10.175.1.14\MWEB.12\BT\MetricGraphs.BT.10.175.1.14.MWEB.12.xlsx", "&lt;Metrics&gt;")</f>
      </c>
      <c r="O39" s="1">
        <f>=HYPERLINK("10.175.1.14\MWEB.12\BT\FlameGraph.BT.10.175.1.14.MWEB.12.-online-bank.131.svg", "&lt;FlGraph&gt;")</f>
      </c>
      <c r="P39" s="1">
        <f>=HYPERLINK("10.175.1.14\MWEB.12\BT\FlameChart.BT.10.175.1.14.MWEB.12.-online-bank.131.svg", "&lt;FlChart&gt;")</f>
      </c>
      <c r="Q39" s="0" t="s">
        <v>101</v>
      </c>
      <c r="R39" s="0" t="s">
        <v>145</v>
      </c>
      <c r="S39" s="0" t="s">
        <v>159</v>
      </c>
      <c r="T39" s="0" t="s">
        <v>1044</v>
      </c>
    </row>
    <row r="40">
      <c r="A40" s="0" t="s">
        <v>28</v>
      </c>
      <c r="B40" s="0" t="s">
        <v>30</v>
      </c>
      <c r="C40" s="0" t="s">
        <v>158</v>
      </c>
      <c r="D40" s="0" t="s">
        <v>1045</v>
      </c>
      <c r="E40" s="0" t="s">
        <v>1045</v>
      </c>
      <c r="F40" s="0" t="b">
        <v>0</v>
      </c>
      <c r="G40" s="0" t="s">
        <v>976</v>
      </c>
      <c r="H40" s="0" t="b">
        <v>0</v>
      </c>
      <c r="I40" s="0" t="s">
        <v>114</v>
      </c>
      <c r="J40" s="0">
        <v>12</v>
      </c>
      <c r="K40" s="0">
        <v>39</v>
      </c>
      <c r="L40" s="0">
        <v>138</v>
      </c>
      <c r="M40" s="1">
        <f>=HYPERLINK("10.175.1.14\MWEB.12\BT\EntityDetails.10.175.1.14.MWEB.12.-online-bank.138.xlsx", "&lt;Detail&gt;")</f>
      </c>
      <c r="N40" s="1">
        <f>=HYPERLINK("10.175.1.14\MWEB.12\BT\MetricGraphs.BT.10.175.1.14.MWEB.12.xlsx", "&lt;Metrics&gt;")</f>
      </c>
      <c r="O40" s="1">
        <f>=HYPERLINK("10.175.1.14\MWEB.12\BT\FlameGraph.BT.10.175.1.14.MWEB.12.-online-bank.138.svg", "&lt;FlGraph&gt;")</f>
      </c>
      <c r="P40" s="1">
        <f>=HYPERLINK("10.175.1.14\MWEB.12\BT\FlameChart.BT.10.175.1.14.MWEB.12.-online-bank.138.svg", "&lt;FlChart&gt;")</f>
      </c>
      <c r="Q40" s="0" t="s">
        <v>101</v>
      </c>
      <c r="R40" s="0" t="s">
        <v>145</v>
      </c>
      <c r="S40" s="0" t="s">
        <v>159</v>
      </c>
      <c r="T40" s="0" t="s">
        <v>1046</v>
      </c>
    </row>
    <row r="41">
      <c r="A41" s="0" t="s">
        <v>28</v>
      </c>
      <c r="B41" s="0" t="s">
        <v>30</v>
      </c>
      <c r="C41" s="0" t="s">
        <v>158</v>
      </c>
      <c r="D41" s="0" t="s">
        <v>1047</v>
      </c>
      <c r="E41" s="0" t="s">
        <v>1047</v>
      </c>
      <c r="F41" s="0" t="b">
        <v>0</v>
      </c>
      <c r="G41" s="0" t="s">
        <v>976</v>
      </c>
      <c r="H41" s="0" t="b">
        <v>0</v>
      </c>
      <c r="I41" s="0" t="s">
        <v>114</v>
      </c>
      <c r="J41" s="0">
        <v>12</v>
      </c>
      <c r="K41" s="0">
        <v>39</v>
      </c>
      <c r="L41" s="0">
        <v>136</v>
      </c>
      <c r="M41" s="1">
        <f>=HYPERLINK("10.175.1.14\MWEB.12\BT\EntityDetails.10.175.1.14.MWEB.12.-online-bank.136.xlsx", "&lt;Detail&gt;")</f>
      </c>
      <c r="N41" s="1">
        <f>=HYPERLINK("10.175.1.14\MWEB.12\BT\MetricGraphs.BT.10.175.1.14.MWEB.12.xlsx", "&lt;Metrics&gt;")</f>
      </c>
      <c r="O41" s="1">
        <f>=HYPERLINK("10.175.1.14\MWEB.12\BT\FlameGraph.BT.10.175.1.14.MWEB.12.-online-bank.136.svg", "&lt;FlGraph&gt;")</f>
      </c>
      <c r="P41" s="1">
        <f>=HYPERLINK("10.175.1.14\MWEB.12\BT\FlameChart.BT.10.175.1.14.MWEB.12.-online-bank.136.svg", "&lt;FlChart&gt;")</f>
      </c>
      <c r="Q41" s="0" t="s">
        <v>101</v>
      </c>
      <c r="R41" s="0" t="s">
        <v>145</v>
      </c>
      <c r="S41" s="0" t="s">
        <v>159</v>
      </c>
      <c r="T41" s="0" t="s">
        <v>1048</v>
      </c>
    </row>
    <row r="42">
      <c r="A42" s="0" t="s">
        <v>28</v>
      </c>
      <c r="B42" s="0" t="s">
        <v>30</v>
      </c>
      <c r="C42" s="0" t="s">
        <v>158</v>
      </c>
      <c r="D42" s="0" t="s">
        <v>1049</v>
      </c>
      <c r="E42" s="0" t="s">
        <v>1049</v>
      </c>
      <c r="F42" s="0" t="b">
        <v>0</v>
      </c>
      <c r="G42" s="0" t="s">
        <v>976</v>
      </c>
      <c r="H42" s="0" t="b">
        <v>0</v>
      </c>
      <c r="I42" s="0" t="s">
        <v>114</v>
      </c>
      <c r="J42" s="0">
        <v>12</v>
      </c>
      <c r="K42" s="0">
        <v>39</v>
      </c>
      <c r="L42" s="0">
        <v>129</v>
      </c>
      <c r="M42" s="1">
        <f>=HYPERLINK("10.175.1.14\MWEB.12\BT\EntityDetails.10.175.1.14.MWEB.12.-online-bran.129.xlsx", "&lt;Detail&gt;")</f>
      </c>
      <c r="N42" s="1">
        <f>=HYPERLINK("10.175.1.14\MWEB.12\BT\MetricGraphs.BT.10.175.1.14.MWEB.12.xlsx", "&lt;Metrics&gt;")</f>
      </c>
      <c r="O42" s="1">
        <f>=HYPERLINK("10.175.1.14\MWEB.12\BT\FlameGraph.BT.10.175.1.14.MWEB.12.-online-bran.129.svg", "&lt;FlGraph&gt;")</f>
      </c>
      <c r="P42" s="1">
        <f>=HYPERLINK("10.175.1.14\MWEB.12\BT\FlameChart.BT.10.175.1.14.MWEB.12.-online-bran.129.svg", "&lt;FlChart&gt;")</f>
      </c>
      <c r="Q42" s="0" t="s">
        <v>101</v>
      </c>
      <c r="R42" s="0" t="s">
        <v>145</v>
      </c>
      <c r="S42" s="0" t="s">
        <v>159</v>
      </c>
      <c r="T42" s="0" t="s">
        <v>1050</v>
      </c>
    </row>
    <row r="43">
      <c r="A43" s="0" t="s">
        <v>28</v>
      </c>
      <c r="B43" s="0" t="s">
        <v>30</v>
      </c>
      <c r="C43" s="0" t="s">
        <v>158</v>
      </c>
      <c r="D43" s="0" t="s">
        <v>1051</v>
      </c>
      <c r="E43" s="0" t="s">
        <v>1051</v>
      </c>
      <c r="F43" s="0" t="b">
        <v>0</v>
      </c>
      <c r="G43" s="0" t="s">
        <v>976</v>
      </c>
      <c r="H43" s="0" t="b">
        <v>0</v>
      </c>
      <c r="I43" s="0" t="s">
        <v>114</v>
      </c>
      <c r="J43" s="0">
        <v>12</v>
      </c>
      <c r="K43" s="0">
        <v>39</v>
      </c>
      <c r="L43" s="0">
        <v>116</v>
      </c>
      <c r="M43" s="1">
        <f>=HYPERLINK("10.175.1.14\MWEB.12\BT\EntityDetails.10.175.1.14.MWEB.12.-online-entr.116.xlsx", "&lt;Detail&gt;")</f>
      </c>
      <c r="N43" s="1">
        <f>=HYPERLINK("10.175.1.14\MWEB.12\BT\MetricGraphs.BT.10.175.1.14.MWEB.12.xlsx", "&lt;Metrics&gt;")</f>
      </c>
      <c r="O43" s="1">
        <f>=HYPERLINK("10.175.1.14\MWEB.12\BT\FlameGraph.BT.10.175.1.14.MWEB.12.-online-entr.116.svg", "&lt;FlGraph&gt;")</f>
      </c>
      <c r="P43" s="1">
        <f>=HYPERLINK("10.175.1.14\MWEB.12\BT\FlameChart.BT.10.175.1.14.MWEB.12.-online-entr.116.svg", "&lt;FlChart&gt;")</f>
      </c>
      <c r="Q43" s="0" t="s">
        <v>101</v>
      </c>
      <c r="R43" s="0" t="s">
        <v>145</v>
      </c>
      <c r="S43" s="0" t="s">
        <v>159</v>
      </c>
      <c r="T43" s="0" t="s">
        <v>1052</v>
      </c>
    </row>
    <row r="44">
      <c r="A44" s="0" t="s">
        <v>28</v>
      </c>
      <c r="B44" s="0" t="s">
        <v>30</v>
      </c>
      <c r="C44" s="0" t="s">
        <v>158</v>
      </c>
      <c r="D44" s="0" t="s">
        <v>1053</v>
      </c>
      <c r="E44" s="0" t="s">
        <v>1053</v>
      </c>
      <c r="F44" s="0" t="b">
        <v>0</v>
      </c>
      <c r="G44" s="0" t="s">
        <v>976</v>
      </c>
      <c r="H44" s="0" t="b">
        <v>0</v>
      </c>
      <c r="I44" s="0" t="s">
        <v>114</v>
      </c>
      <c r="J44" s="0">
        <v>12</v>
      </c>
      <c r="K44" s="0">
        <v>39</v>
      </c>
      <c r="L44" s="0">
        <v>123</v>
      </c>
      <c r="M44" s="1">
        <f>=HYPERLINK("10.175.1.14\MWEB.12\BT\EntityDetails.10.175.1.14.MWEB.12.-online-erro.123.xlsx", "&lt;Detail&gt;")</f>
      </c>
      <c r="N44" s="1">
        <f>=HYPERLINK("10.175.1.14\MWEB.12\BT\MetricGraphs.BT.10.175.1.14.MWEB.12.xlsx", "&lt;Metrics&gt;")</f>
      </c>
      <c r="O44" s="1">
        <f>=HYPERLINK("10.175.1.14\MWEB.12\BT\FlameGraph.BT.10.175.1.14.MWEB.12.-online-erro.123.svg", "&lt;FlGraph&gt;")</f>
      </c>
      <c r="P44" s="1">
        <f>=HYPERLINK("10.175.1.14\MWEB.12\BT\FlameChart.BT.10.175.1.14.MWEB.12.-online-erro.123.svg", "&lt;FlChart&gt;")</f>
      </c>
      <c r="Q44" s="0" t="s">
        <v>101</v>
      </c>
      <c r="R44" s="0" t="s">
        <v>145</v>
      </c>
      <c r="S44" s="0" t="s">
        <v>159</v>
      </c>
      <c r="T44" s="0" t="s">
        <v>1054</v>
      </c>
    </row>
    <row r="45">
      <c r="A45" s="0" t="s">
        <v>28</v>
      </c>
      <c r="B45" s="0" t="s">
        <v>30</v>
      </c>
      <c r="C45" s="0" t="s">
        <v>158</v>
      </c>
      <c r="D45" s="0" t="s">
        <v>1055</v>
      </c>
      <c r="E45" s="0" t="s">
        <v>1055</v>
      </c>
      <c r="F45" s="0" t="b">
        <v>0</v>
      </c>
      <c r="G45" s="0" t="s">
        <v>976</v>
      </c>
      <c r="H45" s="0" t="b">
        <v>0</v>
      </c>
      <c r="I45" s="0" t="s">
        <v>114</v>
      </c>
      <c r="J45" s="0">
        <v>12</v>
      </c>
      <c r="K45" s="0">
        <v>39</v>
      </c>
      <c r="L45" s="0">
        <v>97</v>
      </c>
      <c r="M45" s="1">
        <f>=HYPERLINK("10.175.1.14\MWEB.12\BT\EntityDetails.10.175.1.14.MWEB.12.-online-inqu.97.xlsx", "&lt;Detail&gt;")</f>
      </c>
      <c r="N45" s="1">
        <f>=HYPERLINK("10.175.1.14\MWEB.12\BT\MetricGraphs.BT.10.175.1.14.MWEB.12.xlsx", "&lt;Metrics&gt;")</f>
      </c>
      <c r="O45" s="1">
        <f>=HYPERLINK("10.175.1.14\MWEB.12\BT\FlameGraph.BT.10.175.1.14.MWEB.12.-online-inqu.97.svg", "&lt;FlGraph&gt;")</f>
      </c>
      <c r="P45" s="1">
        <f>=HYPERLINK("10.175.1.14\MWEB.12\BT\FlameChart.BT.10.175.1.14.MWEB.12.-online-inqu.97.svg", "&lt;FlChart&gt;")</f>
      </c>
      <c r="Q45" s="0" t="s">
        <v>101</v>
      </c>
      <c r="R45" s="0" t="s">
        <v>145</v>
      </c>
      <c r="S45" s="0" t="s">
        <v>159</v>
      </c>
      <c r="T45" s="0" t="s">
        <v>1056</v>
      </c>
    </row>
    <row r="46">
      <c r="A46" s="0" t="s">
        <v>28</v>
      </c>
      <c r="B46" s="0" t="s">
        <v>30</v>
      </c>
      <c r="C46" s="0" t="s">
        <v>158</v>
      </c>
      <c r="D46" s="0" t="s">
        <v>1057</v>
      </c>
      <c r="E46" s="0" t="s">
        <v>1057</v>
      </c>
      <c r="F46" s="0" t="b">
        <v>0</v>
      </c>
      <c r="G46" s="0" t="s">
        <v>976</v>
      </c>
      <c r="H46" s="0" t="b">
        <v>0</v>
      </c>
      <c r="I46" s="0" t="s">
        <v>114</v>
      </c>
      <c r="J46" s="0">
        <v>12</v>
      </c>
      <c r="K46" s="0">
        <v>39</v>
      </c>
      <c r="L46" s="0">
        <v>182</v>
      </c>
      <c r="M46" s="1">
        <f>=HYPERLINK("10.175.1.14\MWEB.12\BT\EntityDetails.10.175.1.14.MWEB.12.-online-test.182.xlsx", "&lt;Detail&gt;")</f>
      </c>
      <c r="N46" s="1">
        <f>=HYPERLINK("10.175.1.14\MWEB.12\BT\MetricGraphs.BT.10.175.1.14.MWEB.12.xlsx", "&lt;Metrics&gt;")</f>
      </c>
      <c r="O46" s="1">
        <f>=HYPERLINK("10.175.1.14\MWEB.12\BT\FlameGraph.BT.10.175.1.14.MWEB.12.-online-test.182.svg", "&lt;FlGraph&gt;")</f>
      </c>
      <c r="P46" s="1">
        <f>=HYPERLINK("10.175.1.14\MWEB.12\BT\FlameChart.BT.10.175.1.14.MWEB.12.-online-test.182.svg", "&lt;FlChart&gt;")</f>
      </c>
      <c r="Q46" s="0" t="s">
        <v>101</v>
      </c>
      <c r="R46" s="0" t="s">
        <v>145</v>
      </c>
      <c r="S46" s="0" t="s">
        <v>159</v>
      </c>
      <c r="T46" s="0" t="s">
        <v>1058</v>
      </c>
    </row>
    <row r="47">
      <c r="A47" s="0" t="s">
        <v>28</v>
      </c>
      <c r="B47" s="0" t="s">
        <v>30</v>
      </c>
      <c r="C47" s="0" t="s">
        <v>158</v>
      </c>
      <c r="D47" s="0" t="s">
        <v>1059</v>
      </c>
      <c r="E47" s="0" t="s">
        <v>1059</v>
      </c>
      <c r="F47" s="0" t="b">
        <v>0</v>
      </c>
      <c r="G47" s="0" t="s">
        <v>976</v>
      </c>
      <c r="H47" s="0" t="b">
        <v>0</v>
      </c>
      <c r="I47" s="0" t="s">
        <v>114</v>
      </c>
      <c r="J47" s="0">
        <v>12</v>
      </c>
      <c r="K47" s="0">
        <v>39</v>
      </c>
      <c r="L47" s="0">
        <v>174</v>
      </c>
      <c r="M47" s="1">
        <f>=HYPERLINK("10.175.1.14\MWEB.12\BT\EntityDetails.10.175.1.14.MWEB.12.-wins-inet.174.xlsx", "&lt;Detail&gt;")</f>
      </c>
      <c r="N47" s="1">
        <f>=HYPERLINK("10.175.1.14\MWEB.12\BT\MetricGraphs.BT.10.175.1.14.MWEB.12.xlsx", "&lt;Metrics&gt;")</f>
      </c>
      <c r="O47" s="1">
        <f>=HYPERLINK("10.175.1.14\MWEB.12\BT\FlameGraph.BT.10.175.1.14.MWEB.12.-wins-inet.174.svg", "&lt;FlGraph&gt;")</f>
      </c>
      <c r="P47" s="1">
        <f>=HYPERLINK("10.175.1.14\MWEB.12\BT\FlameChart.BT.10.175.1.14.MWEB.12.-wins-inet.174.svg", "&lt;FlChart&gt;")</f>
      </c>
      <c r="Q47" s="0" t="s">
        <v>101</v>
      </c>
      <c r="R47" s="0" t="s">
        <v>145</v>
      </c>
      <c r="S47" s="0" t="s">
        <v>159</v>
      </c>
      <c r="T47" s="0" t="s">
        <v>1060</v>
      </c>
    </row>
    <row r="48">
      <c r="A48" s="0" t="s">
        <v>28</v>
      </c>
      <c r="B48" s="0" t="s">
        <v>30</v>
      </c>
      <c r="C48" s="0" t="s">
        <v>158</v>
      </c>
      <c r="D48" s="0" t="s">
        <v>1061</v>
      </c>
      <c r="E48" s="0" t="s">
        <v>1061</v>
      </c>
      <c r="F48" s="0" t="b">
        <v>0</v>
      </c>
      <c r="G48" s="0" t="s">
        <v>976</v>
      </c>
      <c r="H48" s="0" t="b">
        <v>0</v>
      </c>
      <c r="I48" s="0" t="s">
        <v>114</v>
      </c>
      <c r="J48" s="0">
        <v>12</v>
      </c>
      <c r="K48" s="0">
        <v>39</v>
      </c>
      <c r="L48" s="0">
        <v>128</v>
      </c>
      <c r="M48" s="1">
        <f>=HYPERLINK("10.175.1.14\MWEB.12\BT\EntityDetails.10.175.1.14.MWEB.12.-wins-inquir.128.xlsx", "&lt;Detail&gt;")</f>
      </c>
      <c r="N48" s="1">
        <f>=HYPERLINK("10.175.1.14\MWEB.12\BT\MetricGraphs.BT.10.175.1.14.MWEB.12.xlsx", "&lt;Metrics&gt;")</f>
      </c>
      <c r="O48" s="1">
        <f>=HYPERLINK("10.175.1.14\MWEB.12\BT\FlameGraph.BT.10.175.1.14.MWEB.12.-wins-inquir.128.svg", "&lt;FlGraph&gt;")</f>
      </c>
      <c r="P48" s="1">
        <f>=HYPERLINK("10.175.1.14\MWEB.12\BT\FlameChart.BT.10.175.1.14.MWEB.12.-wins-inquir.128.svg", "&lt;FlChart&gt;")</f>
      </c>
      <c r="Q48" s="0" t="s">
        <v>101</v>
      </c>
      <c r="R48" s="0" t="s">
        <v>145</v>
      </c>
      <c r="S48" s="0" t="s">
        <v>159</v>
      </c>
      <c r="T48" s="0" t="s">
        <v>1062</v>
      </c>
    </row>
    <row r="49">
      <c r="A49" s="0" t="s">
        <v>28</v>
      </c>
      <c r="B49" s="0" t="s">
        <v>30</v>
      </c>
      <c r="C49" s="0" t="s">
        <v>158</v>
      </c>
      <c r="D49" s="0" t="s">
        <v>1063</v>
      </c>
      <c r="E49" s="0" t="s">
        <v>1063</v>
      </c>
      <c r="F49" s="0" t="b">
        <v>0</v>
      </c>
      <c r="G49" s="0" t="s">
        <v>976</v>
      </c>
      <c r="H49" s="0" t="b">
        <v>0</v>
      </c>
      <c r="I49" s="0" t="s">
        <v>114</v>
      </c>
      <c r="J49" s="0">
        <v>12</v>
      </c>
      <c r="K49" s="0">
        <v>39</v>
      </c>
      <c r="L49" s="0">
        <v>125</v>
      </c>
      <c r="M49" s="1">
        <f>=HYPERLINK("10.175.1.14\MWEB.12\BT\EntityDetails.10.175.1.14.MWEB.12.-wins-login.125.xlsx", "&lt;Detail&gt;")</f>
      </c>
      <c r="N49" s="1">
        <f>=HYPERLINK("10.175.1.14\MWEB.12\BT\MetricGraphs.BT.10.175.1.14.MWEB.12.xlsx", "&lt;Metrics&gt;")</f>
      </c>
      <c r="O49" s="1">
        <f>=HYPERLINK("10.175.1.14\MWEB.12\BT\FlameGraph.BT.10.175.1.14.MWEB.12.-wins-login.125.svg", "&lt;FlGraph&gt;")</f>
      </c>
      <c r="P49" s="1">
        <f>=HYPERLINK("10.175.1.14\MWEB.12\BT\FlameChart.BT.10.175.1.14.MWEB.12.-wins-login.125.svg", "&lt;FlChart&gt;")</f>
      </c>
      <c r="Q49" s="0" t="s">
        <v>101</v>
      </c>
      <c r="R49" s="0" t="s">
        <v>145</v>
      </c>
      <c r="S49" s="0" t="s">
        <v>159</v>
      </c>
      <c r="T49" s="0" t="s">
        <v>1064</v>
      </c>
    </row>
    <row r="50">
      <c r="A50" s="0" t="s">
        <v>28</v>
      </c>
      <c r="B50" s="0" t="s">
        <v>30</v>
      </c>
      <c r="C50" s="0" t="s">
        <v>158</v>
      </c>
      <c r="D50" s="0" t="s">
        <v>1065</v>
      </c>
      <c r="E50" s="0" t="s">
        <v>1065</v>
      </c>
      <c r="F50" s="0" t="b">
        <v>0</v>
      </c>
      <c r="G50" s="0" t="s">
        <v>976</v>
      </c>
      <c r="H50" s="0" t="b">
        <v>0</v>
      </c>
      <c r="I50" s="0" t="s">
        <v>114</v>
      </c>
      <c r="J50" s="0">
        <v>12</v>
      </c>
      <c r="K50" s="0">
        <v>39</v>
      </c>
      <c r="L50" s="0">
        <v>127</v>
      </c>
      <c r="M50" s="1">
        <f>=HYPERLINK("10.175.1.14\MWEB.12\BT\EntityDetails.10.175.1.14.MWEB.12.-wins-passwo.127.xlsx", "&lt;Detail&gt;")</f>
      </c>
      <c r="N50" s="1">
        <f>=HYPERLINK("10.175.1.14\MWEB.12\BT\MetricGraphs.BT.10.175.1.14.MWEB.12.xlsx", "&lt;Metrics&gt;")</f>
      </c>
      <c r="O50" s="1">
        <f>=HYPERLINK("10.175.1.14\MWEB.12\BT\FlameGraph.BT.10.175.1.14.MWEB.12.-wins-passwo.127.svg", "&lt;FlGraph&gt;")</f>
      </c>
      <c r="P50" s="1">
        <f>=HYPERLINK("10.175.1.14\MWEB.12\BT\FlameChart.BT.10.175.1.14.MWEB.12.-wins-passwo.127.svg", "&lt;FlChart&gt;")</f>
      </c>
      <c r="Q50" s="0" t="s">
        <v>101</v>
      </c>
      <c r="R50" s="0" t="s">
        <v>145</v>
      </c>
      <c r="S50" s="0" t="s">
        <v>159</v>
      </c>
      <c r="T50" s="0" t="s">
        <v>1066</v>
      </c>
    </row>
    <row r="51">
      <c r="A51" s="0" t="s">
        <v>28</v>
      </c>
      <c r="B51" s="0" t="s">
        <v>30</v>
      </c>
      <c r="C51" s="0" t="s">
        <v>158</v>
      </c>
      <c r="D51" s="0" t="s">
        <v>1067</v>
      </c>
      <c r="E51" s="0" t="s">
        <v>1067</v>
      </c>
      <c r="F51" s="0" t="b">
        <v>0</v>
      </c>
      <c r="G51" s="0" t="s">
        <v>976</v>
      </c>
      <c r="H51" s="0" t="b">
        <v>0</v>
      </c>
      <c r="I51" s="0" t="s">
        <v>114</v>
      </c>
      <c r="J51" s="0">
        <v>12</v>
      </c>
      <c r="K51" s="0">
        <v>39</v>
      </c>
      <c r="L51" s="0">
        <v>134</v>
      </c>
      <c r="M51" s="1">
        <f>=HYPERLINK("10.175.1.14\MWEB.12\BT\EntityDetails.10.175.1.14.MWEB.12.-wins-reques.134.xlsx", "&lt;Detail&gt;")</f>
      </c>
      <c r="N51" s="1">
        <f>=HYPERLINK("10.175.1.14\MWEB.12\BT\MetricGraphs.BT.10.175.1.14.MWEB.12.xlsx", "&lt;Metrics&gt;")</f>
      </c>
      <c r="O51" s="1">
        <f>=HYPERLINK("10.175.1.14\MWEB.12\BT\FlameGraph.BT.10.175.1.14.MWEB.12.-wins-reques.134.svg", "&lt;FlGraph&gt;")</f>
      </c>
      <c r="P51" s="1">
        <f>=HYPERLINK("10.175.1.14\MWEB.12\BT\FlameChart.BT.10.175.1.14.MWEB.12.-wins-reques.134.svg", "&lt;FlChart&gt;")</f>
      </c>
      <c r="Q51" s="0" t="s">
        <v>101</v>
      </c>
      <c r="R51" s="0" t="s">
        <v>145</v>
      </c>
      <c r="S51" s="0" t="s">
        <v>159</v>
      </c>
      <c r="T51" s="0" t="s">
        <v>1068</v>
      </c>
    </row>
    <row r="52">
      <c r="A52" s="0" t="s">
        <v>28</v>
      </c>
      <c r="B52" s="0" t="s">
        <v>30</v>
      </c>
      <c r="C52" s="0" t="s">
        <v>158</v>
      </c>
      <c r="D52" s="0" t="s">
        <v>1069</v>
      </c>
      <c r="E52" s="0" t="s">
        <v>1069</v>
      </c>
      <c r="F52" s="0" t="b">
        <v>0</v>
      </c>
      <c r="G52" s="0" t="s">
        <v>976</v>
      </c>
      <c r="H52" s="0" t="b">
        <v>0</v>
      </c>
      <c r="I52" s="0" t="s">
        <v>114</v>
      </c>
      <c r="J52" s="0">
        <v>12</v>
      </c>
      <c r="K52" s="0">
        <v>39</v>
      </c>
      <c r="L52" s="0">
        <v>132</v>
      </c>
      <c r="M52" s="1">
        <f>=HYPERLINK("10.175.1.14\MWEB.12\BT\EntityDetails.10.175.1.14.MWEB.12.-wins-reset.132.xlsx", "&lt;Detail&gt;")</f>
      </c>
      <c r="N52" s="1">
        <f>=HYPERLINK("10.175.1.14\MWEB.12\BT\MetricGraphs.BT.10.175.1.14.MWEB.12.xlsx", "&lt;Metrics&gt;")</f>
      </c>
      <c r="O52" s="1">
        <f>=HYPERLINK("10.175.1.14\MWEB.12\BT\FlameGraph.BT.10.175.1.14.MWEB.12.-wins-reset.132.svg", "&lt;FlGraph&gt;")</f>
      </c>
      <c r="P52" s="1">
        <f>=HYPERLINK("10.175.1.14\MWEB.12\BT\FlameChart.BT.10.175.1.14.MWEB.12.-wins-reset.132.svg", "&lt;FlChart&gt;")</f>
      </c>
      <c r="Q52" s="0" t="s">
        <v>101</v>
      </c>
      <c r="R52" s="0" t="s">
        <v>145</v>
      </c>
      <c r="S52" s="0" t="s">
        <v>159</v>
      </c>
      <c r="T52" s="0" t="s">
        <v>1070</v>
      </c>
    </row>
    <row r="53">
      <c r="A53" s="0" t="s">
        <v>28</v>
      </c>
      <c r="B53" s="0" t="s">
        <v>30</v>
      </c>
      <c r="C53" s="0" t="s">
        <v>158</v>
      </c>
      <c r="D53" s="0" t="s">
        <v>1071</v>
      </c>
      <c r="E53" s="0" t="s">
        <v>1071</v>
      </c>
      <c r="F53" s="0" t="b">
        <v>0</v>
      </c>
      <c r="G53" s="0" t="s">
        <v>976</v>
      </c>
      <c r="H53" s="0" t="b">
        <v>0</v>
      </c>
      <c r="I53" s="0" t="s">
        <v>114</v>
      </c>
      <c r="J53" s="0">
        <v>12</v>
      </c>
      <c r="K53" s="0">
        <v>39</v>
      </c>
      <c r="L53" s="0">
        <v>126</v>
      </c>
      <c r="M53" s="1">
        <f>=HYPERLINK("10.175.1.14\MWEB.12\BT\EntityDetails.10.175.1.14.MWEB.12.-wins-select.126.xlsx", "&lt;Detail&gt;")</f>
      </c>
      <c r="N53" s="1">
        <f>=HYPERLINK("10.175.1.14\MWEB.12\BT\MetricGraphs.BT.10.175.1.14.MWEB.12.xlsx", "&lt;Metrics&gt;")</f>
      </c>
      <c r="O53" s="1">
        <f>=HYPERLINK("10.175.1.14\MWEB.12\BT\FlameGraph.BT.10.175.1.14.MWEB.12.-wins-select.126.svg", "&lt;FlGraph&gt;")</f>
      </c>
      <c r="P53" s="1">
        <f>=HYPERLINK("10.175.1.14\MWEB.12\BT\FlameChart.BT.10.175.1.14.MWEB.12.-wins-select.126.svg", "&lt;FlChart&gt;")</f>
      </c>
      <c r="Q53" s="0" t="s">
        <v>101</v>
      </c>
      <c r="R53" s="0" t="s">
        <v>145</v>
      </c>
      <c r="S53" s="0" t="s">
        <v>159</v>
      </c>
      <c r="T53" s="0" t="s">
        <v>1072</v>
      </c>
    </row>
    <row r="54">
      <c r="A54" s="0" t="s">
        <v>28</v>
      </c>
      <c r="B54" s="0" t="s">
        <v>30</v>
      </c>
      <c r="C54" s="0" t="s">
        <v>158</v>
      </c>
      <c r="D54" s="0" t="s">
        <v>1073</v>
      </c>
      <c r="E54" s="0" t="s">
        <v>1073</v>
      </c>
      <c r="F54" s="0" t="b">
        <v>0</v>
      </c>
      <c r="G54" s="0" t="s">
        <v>976</v>
      </c>
      <c r="H54" s="0" t="b">
        <v>0</v>
      </c>
      <c r="I54" s="0" t="s">
        <v>114</v>
      </c>
      <c r="J54" s="0">
        <v>12</v>
      </c>
      <c r="K54" s="0">
        <v>39</v>
      </c>
      <c r="L54" s="0">
        <v>140</v>
      </c>
      <c r="M54" s="1">
        <f>=HYPERLINK("10.175.1.14\MWEB.12\BT\EntityDetails.10.175.1.14.MWEB.12.-wins-userad.140.xlsx", "&lt;Detail&gt;")</f>
      </c>
      <c r="N54" s="1">
        <f>=HYPERLINK("10.175.1.14\MWEB.12\BT\MetricGraphs.BT.10.175.1.14.MWEB.12.xlsx", "&lt;Metrics&gt;")</f>
      </c>
      <c r="O54" s="1">
        <f>=HYPERLINK("10.175.1.14\MWEB.12\BT\FlameGraph.BT.10.175.1.14.MWEB.12.-wins-userad.140.svg", "&lt;FlGraph&gt;")</f>
      </c>
      <c r="P54" s="1">
        <f>=HYPERLINK("10.175.1.14\MWEB.12\BT\FlameChart.BT.10.175.1.14.MWEB.12.-wins-userad.140.svg", "&lt;FlChart&gt;")</f>
      </c>
      <c r="Q54" s="0" t="s">
        <v>101</v>
      </c>
      <c r="R54" s="0" t="s">
        <v>145</v>
      </c>
      <c r="S54" s="0" t="s">
        <v>159</v>
      </c>
      <c r="T54" s="0" t="s">
        <v>1074</v>
      </c>
    </row>
    <row r="55">
      <c r="A55" s="0" t="s">
        <v>28</v>
      </c>
      <c r="B55" s="0" t="s">
        <v>30</v>
      </c>
      <c r="C55" s="0" t="s">
        <v>158</v>
      </c>
      <c r="D55" s="0" t="s">
        <v>1075</v>
      </c>
      <c r="E55" s="0" t="s">
        <v>1075</v>
      </c>
      <c r="F55" s="0" t="b">
        <v>0</v>
      </c>
      <c r="G55" s="0" t="s">
        <v>976</v>
      </c>
      <c r="H55" s="0" t="b">
        <v>0</v>
      </c>
      <c r="I55" s="0" t="s">
        <v>114</v>
      </c>
      <c r="J55" s="0">
        <v>12</v>
      </c>
      <c r="K55" s="0">
        <v>39</v>
      </c>
      <c r="L55" s="0">
        <v>142</v>
      </c>
      <c r="M55" s="1">
        <f>=HYPERLINK("10.175.1.14\MWEB.12\BT\EntityDetails.10.175.1.14.MWEB.12.-wins-userch.142.xlsx", "&lt;Detail&gt;")</f>
      </c>
      <c r="N55" s="1">
        <f>=HYPERLINK("10.175.1.14\MWEB.12\BT\MetricGraphs.BT.10.175.1.14.MWEB.12.xlsx", "&lt;Metrics&gt;")</f>
      </c>
      <c r="O55" s="1">
        <f>=HYPERLINK("10.175.1.14\MWEB.12\BT\FlameGraph.BT.10.175.1.14.MWEB.12.-wins-userch.142.svg", "&lt;FlGraph&gt;")</f>
      </c>
      <c r="P55" s="1">
        <f>=HYPERLINK("10.175.1.14\MWEB.12\BT\FlameChart.BT.10.175.1.14.MWEB.12.-wins-userch.142.svg", "&lt;FlChart&gt;")</f>
      </c>
      <c r="Q55" s="0" t="s">
        <v>101</v>
      </c>
      <c r="R55" s="0" t="s">
        <v>145</v>
      </c>
      <c r="S55" s="0" t="s">
        <v>159</v>
      </c>
      <c r="T55" s="0" t="s">
        <v>1076</v>
      </c>
    </row>
    <row r="56">
      <c r="A56" s="0" t="s">
        <v>28</v>
      </c>
      <c r="B56" s="0" t="s">
        <v>30</v>
      </c>
      <c r="C56" s="0" t="s">
        <v>158</v>
      </c>
      <c r="D56" s="0" t="s">
        <v>1077</v>
      </c>
      <c r="E56" s="0" t="s">
        <v>1077</v>
      </c>
      <c r="F56" s="0" t="b">
        <v>0</v>
      </c>
      <c r="G56" s="0" t="s">
        <v>976</v>
      </c>
      <c r="H56" s="0" t="b">
        <v>0</v>
      </c>
      <c r="I56" s="0" t="s">
        <v>114</v>
      </c>
      <c r="J56" s="0">
        <v>12</v>
      </c>
      <c r="K56" s="0">
        <v>39</v>
      </c>
      <c r="L56" s="0">
        <v>152</v>
      </c>
      <c r="M56" s="1">
        <f>=HYPERLINK("10.175.1.14\MWEB.12\BT\EntityDetails.10.175.1.14.MWEB.12.-wins-userde.152.xlsx", "&lt;Detail&gt;")</f>
      </c>
      <c r="N56" s="1">
        <f>=HYPERLINK("10.175.1.14\MWEB.12\BT\MetricGraphs.BT.10.175.1.14.MWEB.12.xlsx", "&lt;Metrics&gt;")</f>
      </c>
      <c r="O56" s="1">
        <f>=HYPERLINK("10.175.1.14\MWEB.12\BT\FlameGraph.BT.10.175.1.14.MWEB.12.-wins-userde.152.svg", "&lt;FlGraph&gt;")</f>
      </c>
      <c r="P56" s="1">
        <f>=HYPERLINK("10.175.1.14\MWEB.12\BT\FlameChart.BT.10.175.1.14.MWEB.12.-wins-userde.152.svg", "&lt;FlChart&gt;")</f>
      </c>
      <c r="Q56" s="0" t="s">
        <v>101</v>
      </c>
      <c r="R56" s="0" t="s">
        <v>145</v>
      </c>
      <c r="S56" s="0" t="s">
        <v>159</v>
      </c>
      <c r="T56" s="0" t="s">
        <v>1078</v>
      </c>
    </row>
    <row r="57">
      <c r="A57" s="0" t="s">
        <v>28</v>
      </c>
      <c r="B57" s="0" t="s">
        <v>30</v>
      </c>
      <c r="C57" s="0" t="s">
        <v>158</v>
      </c>
      <c r="D57" s="0" t="s">
        <v>1030</v>
      </c>
      <c r="E57" s="0" t="s">
        <v>1030</v>
      </c>
      <c r="F57" s="0" t="b">
        <v>0</v>
      </c>
      <c r="G57" s="0" t="s">
        <v>1031</v>
      </c>
      <c r="H57" s="0" t="b">
        <v>0</v>
      </c>
      <c r="I57" s="0" t="s">
        <v>114</v>
      </c>
      <c r="J57" s="0">
        <v>12</v>
      </c>
      <c r="K57" s="0">
        <v>39</v>
      </c>
      <c r="L57" s="0">
        <v>96</v>
      </c>
      <c r="M57" s="1">
        <f>=HYPERLINK("10.175.1.14\MWEB.12\BT\EntityDetails.10.175.1.14.MWEB.12._APPDYNAMICS.96.xlsx", "&lt;Detail&gt;")</f>
      </c>
      <c r="N57" s="1">
        <f>=HYPERLINK("10.175.1.14\MWEB.12\BT\MetricGraphs.BT.10.175.1.14.MWEB.12.xlsx", "&lt;Metrics&gt;")</f>
      </c>
      <c r="O57" s="1">
        <f>=HYPERLINK("10.175.1.14\MWEB.12\BT\FlameGraph.BT.10.175.1.14.MWEB.12._APPDYNAMICS.96.svg", "&lt;FlGraph&gt;")</f>
      </c>
      <c r="P57" s="1">
        <f>=HYPERLINK("10.175.1.14\MWEB.12\BT\FlameChart.BT.10.175.1.14.MWEB.12._APPDYNAMICS.96.svg", "&lt;FlChart&gt;")</f>
      </c>
      <c r="Q57" s="0" t="s">
        <v>101</v>
      </c>
      <c r="R57" s="0" t="s">
        <v>145</v>
      </c>
      <c r="S57" s="0" t="s">
        <v>159</v>
      </c>
      <c r="T57" s="0" t="s">
        <v>1079</v>
      </c>
    </row>
    <row r="58">
      <c r="A58" s="0" t="s">
        <v>28</v>
      </c>
      <c r="B58" s="0" t="s">
        <v>30</v>
      </c>
      <c r="C58" s="0" t="s">
        <v>160</v>
      </c>
      <c r="D58" s="0" t="s">
        <v>1080</v>
      </c>
      <c r="E58" s="0" t="s">
        <v>1080</v>
      </c>
      <c r="F58" s="0" t="b">
        <v>0</v>
      </c>
      <c r="G58" s="0" t="s">
        <v>976</v>
      </c>
      <c r="H58" s="0" t="b">
        <v>0</v>
      </c>
      <c r="I58" s="0" t="s">
        <v>114</v>
      </c>
      <c r="J58" s="0">
        <v>12</v>
      </c>
      <c r="K58" s="0">
        <v>41</v>
      </c>
      <c r="L58" s="0">
        <v>406</v>
      </c>
      <c r="M58" s="1">
        <f>=HYPERLINK("10.175.1.14\MWEB.12\BT\EntityDetails.10.175.1.14.MWEB.12.-connect-ind.406.xlsx", "&lt;Detail&gt;")</f>
      </c>
      <c r="N58" s="1">
        <f>=HYPERLINK("10.175.1.14\MWEB.12\BT\MetricGraphs.BT.10.175.1.14.MWEB.12.xlsx", "&lt;Metrics&gt;")</f>
      </c>
      <c r="O58" s="1">
        <f>=HYPERLINK("10.175.1.14\MWEB.12\BT\FlameGraph.BT.10.175.1.14.MWEB.12.-connect-ind.406.svg", "&lt;FlGraph&gt;")</f>
      </c>
      <c r="P58" s="1">
        <f>=HYPERLINK("10.175.1.14\MWEB.12\BT\FlameChart.BT.10.175.1.14.MWEB.12.-connect-ind.406.svg", "&lt;FlChart&gt;")</f>
      </c>
      <c r="Q58" s="0" t="s">
        <v>101</v>
      </c>
      <c r="R58" s="0" t="s">
        <v>145</v>
      </c>
      <c r="S58" s="0" t="s">
        <v>161</v>
      </c>
      <c r="T58" s="0" t="s">
        <v>1081</v>
      </c>
    </row>
    <row r="59">
      <c r="A59" s="0" t="s">
        <v>28</v>
      </c>
      <c r="B59" s="0" t="s">
        <v>30</v>
      </c>
      <c r="C59" s="0" t="s">
        <v>160</v>
      </c>
      <c r="D59" s="0" t="s">
        <v>1026</v>
      </c>
      <c r="E59" s="0" t="s">
        <v>1026</v>
      </c>
      <c r="F59" s="0" t="b">
        <v>0</v>
      </c>
      <c r="G59" s="0" t="s">
        <v>976</v>
      </c>
      <c r="H59" s="0" t="b">
        <v>0</v>
      </c>
      <c r="I59" s="0" t="s">
        <v>114</v>
      </c>
      <c r="J59" s="0">
        <v>12</v>
      </c>
      <c r="K59" s="0">
        <v>41</v>
      </c>
      <c r="L59" s="0">
        <v>229</v>
      </c>
      <c r="M59" s="1">
        <f>=HYPERLINK("10.175.1.14\MWEB.12\BT\EntityDetails.10.175.1.14.MWEB.12.-management-.229.xlsx", "&lt;Detail&gt;")</f>
      </c>
      <c r="N59" s="1">
        <f>=HYPERLINK("10.175.1.14\MWEB.12\BT\MetricGraphs.BT.10.175.1.14.MWEB.12.xlsx", "&lt;Metrics&gt;")</f>
      </c>
      <c r="O59" s="1">
        <f>=HYPERLINK("10.175.1.14\MWEB.12\BT\FlameGraph.BT.10.175.1.14.MWEB.12.-management-.229.svg", "&lt;FlGraph&gt;")</f>
      </c>
      <c r="P59" s="1">
        <f>=HYPERLINK("10.175.1.14\MWEB.12\BT\FlameChart.BT.10.175.1.14.MWEB.12.-management-.229.svg", "&lt;FlChart&gt;")</f>
      </c>
      <c r="Q59" s="0" t="s">
        <v>101</v>
      </c>
      <c r="R59" s="0" t="s">
        <v>145</v>
      </c>
      <c r="S59" s="0" t="s">
        <v>161</v>
      </c>
      <c r="T59" s="0" t="s">
        <v>1082</v>
      </c>
    </row>
    <row r="60">
      <c r="A60" s="0" t="s">
        <v>28</v>
      </c>
      <c r="B60" s="0" t="s">
        <v>30</v>
      </c>
      <c r="C60" s="0" t="s">
        <v>160</v>
      </c>
      <c r="D60" s="0" t="s">
        <v>1030</v>
      </c>
      <c r="E60" s="0" t="s">
        <v>1030</v>
      </c>
      <c r="F60" s="0" t="b">
        <v>0</v>
      </c>
      <c r="G60" s="0" t="s">
        <v>1031</v>
      </c>
      <c r="H60" s="0" t="b">
        <v>0</v>
      </c>
      <c r="I60" s="0" t="s">
        <v>114</v>
      </c>
      <c r="J60" s="0">
        <v>12</v>
      </c>
      <c r="K60" s="0">
        <v>41</v>
      </c>
      <c r="L60" s="0">
        <v>282</v>
      </c>
      <c r="M60" s="1">
        <f>=HYPERLINK("10.175.1.14\MWEB.12\BT\EntityDetails.10.175.1.14.MWEB.12._APPDYNAMICS.282.xlsx", "&lt;Detail&gt;")</f>
      </c>
      <c r="N60" s="1">
        <f>=HYPERLINK("10.175.1.14\MWEB.12\BT\MetricGraphs.BT.10.175.1.14.MWEB.12.xlsx", "&lt;Metrics&gt;")</f>
      </c>
      <c r="O60" s="1">
        <f>=HYPERLINK("10.175.1.14\MWEB.12\BT\FlameGraph.BT.10.175.1.14.MWEB.12._APPDYNAMICS.282.svg", "&lt;FlGraph&gt;")</f>
      </c>
      <c r="P60" s="1">
        <f>=HYPERLINK("10.175.1.14\MWEB.12\BT\FlameChart.BT.10.175.1.14.MWEB.12._APPDYNAMICS.282.svg", "&lt;FlChart&gt;")</f>
      </c>
      <c r="Q60" s="0" t="s">
        <v>101</v>
      </c>
      <c r="R60" s="0" t="s">
        <v>145</v>
      </c>
      <c r="S60" s="0" t="s">
        <v>161</v>
      </c>
      <c r="T60" s="0" t="s">
        <v>1083</v>
      </c>
    </row>
    <row r="61">
      <c r="A61" s="0" t="s">
        <v>28</v>
      </c>
      <c r="B61" s="0" t="s">
        <v>30</v>
      </c>
      <c r="C61" s="0" t="s">
        <v>162</v>
      </c>
      <c r="D61" s="0" t="s">
        <v>984</v>
      </c>
      <c r="E61" s="0" t="s">
        <v>984</v>
      </c>
      <c r="F61" s="0" t="b">
        <v>0</v>
      </c>
      <c r="G61" s="0" t="s">
        <v>976</v>
      </c>
      <c r="H61" s="0" t="b">
        <v>0</v>
      </c>
      <c r="I61" s="0" t="s">
        <v>114</v>
      </c>
      <c r="J61" s="0">
        <v>12</v>
      </c>
      <c r="K61" s="0">
        <v>40</v>
      </c>
      <c r="L61" s="0">
        <v>234</v>
      </c>
      <c r="M61" s="1">
        <f>=HYPERLINK("10.175.1.14\MWEB.12\BT\EntityDetails.10.175.1.14.MWEB.12.-HealthMonit.234.xlsx", "&lt;Detail&gt;")</f>
      </c>
      <c r="N61" s="1">
        <f>=HYPERLINK("10.175.1.14\MWEB.12\BT\MetricGraphs.BT.10.175.1.14.MWEB.12.xlsx", "&lt;Metrics&gt;")</f>
      </c>
      <c r="O61" s="1">
        <f>=HYPERLINK("10.175.1.14\MWEB.12\BT\FlameGraph.BT.10.175.1.14.MWEB.12.-HealthMonit.234.svg", "&lt;FlGraph&gt;")</f>
      </c>
      <c r="P61" s="1">
        <f>=HYPERLINK("10.175.1.14\MWEB.12\BT\FlameChart.BT.10.175.1.14.MWEB.12.-HealthMonit.234.svg", "&lt;FlChart&gt;")</f>
      </c>
      <c r="Q61" s="0" t="s">
        <v>101</v>
      </c>
      <c r="R61" s="0" t="s">
        <v>145</v>
      </c>
      <c r="S61" s="0" t="s">
        <v>163</v>
      </c>
      <c r="T61" s="0" t="s">
        <v>1084</v>
      </c>
    </row>
    <row r="62">
      <c r="A62" s="0" t="s">
        <v>28</v>
      </c>
      <c r="B62" s="0" t="s">
        <v>30</v>
      </c>
      <c r="C62" s="0" t="s">
        <v>162</v>
      </c>
      <c r="D62" s="0" t="s">
        <v>1026</v>
      </c>
      <c r="E62" s="0" t="s">
        <v>1026</v>
      </c>
      <c r="F62" s="0" t="b">
        <v>0</v>
      </c>
      <c r="G62" s="0" t="s">
        <v>976</v>
      </c>
      <c r="H62" s="0" t="b">
        <v>0</v>
      </c>
      <c r="I62" s="0" t="s">
        <v>114</v>
      </c>
      <c r="J62" s="0">
        <v>12</v>
      </c>
      <c r="K62" s="0">
        <v>40</v>
      </c>
      <c r="L62" s="0">
        <v>233</v>
      </c>
      <c r="M62" s="1">
        <f>=HYPERLINK("10.175.1.14\MWEB.12\BT\EntityDetails.10.175.1.14.MWEB.12.-management-.233.xlsx", "&lt;Detail&gt;")</f>
      </c>
      <c r="N62" s="1">
        <f>=HYPERLINK("10.175.1.14\MWEB.12\BT\MetricGraphs.BT.10.175.1.14.MWEB.12.xlsx", "&lt;Metrics&gt;")</f>
      </c>
      <c r="O62" s="1">
        <f>=HYPERLINK("10.175.1.14\MWEB.12\BT\FlameGraph.BT.10.175.1.14.MWEB.12.-management-.233.svg", "&lt;FlGraph&gt;")</f>
      </c>
      <c r="P62" s="1">
        <f>=HYPERLINK("10.175.1.14\MWEB.12\BT\FlameChart.BT.10.175.1.14.MWEB.12.-management-.233.svg", "&lt;FlChart&gt;")</f>
      </c>
      <c r="Q62" s="0" t="s">
        <v>101</v>
      </c>
      <c r="R62" s="0" t="s">
        <v>145</v>
      </c>
      <c r="S62" s="0" t="s">
        <v>163</v>
      </c>
      <c r="T62" s="0" t="s">
        <v>1085</v>
      </c>
    </row>
    <row r="63">
      <c r="A63" s="0" t="s">
        <v>28</v>
      </c>
      <c r="B63" s="0" t="s">
        <v>30</v>
      </c>
      <c r="C63" s="0" t="s">
        <v>162</v>
      </c>
      <c r="D63" s="0" t="s">
        <v>1086</v>
      </c>
      <c r="E63" s="0" t="s">
        <v>1086</v>
      </c>
      <c r="F63" s="0" t="b">
        <v>0</v>
      </c>
      <c r="G63" s="0" t="s">
        <v>976</v>
      </c>
      <c r="H63" s="0" t="b">
        <v>0</v>
      </c>
      <c r="I63" s="0" t="s">
        <v>114</v>
      </c>
      <c r="J63" s="0">
        <v>12</v>
      </c>
      <c r="K63" s="0">
        <v>40</v>
      </c>
      <c r="L63" s="0">
        <v>424</v>
      </c>
      <c r="M63" s="1">
        <f>=HYPERLINK("10.175.1.14\MWEB.12\BT\EntityDetails.10.175.1.14.MWEB.12.-net-online.424.xlsx", "&lt;Detail&gt;")</f>
      </c>
      <c r="N63" s="1">
        <f>=HYPERLINK("10.175.1.14\MWEB.12\BT\MetricGraphs.BT.10.175.1.14.MWEB.12.xlsx", "&lt;Metrics&gt;")</f>
      </c>
      <c r="O63" s="1">
        <f>=HYPERLINK("10.175.1.14\MWEB.12\BT\FlameGraph.BT.10.175.1.14.MWEB.12.-net-online.424.svg", "&lt;FlGraph&gt;")</f>
      </c>
      <c r="P63" s="1">
        <f>=HYPERLINK("10.175.1.14\MWEB.12\BT\FlameChart.BT.10.175.1.14.MWEB.12.-net-online.424.svg", "&lt;FlChart&gt;")</f>
      </c>
      <c r="Q63" s="0" t="s">
        <v>101</v>
      </c>
      <c r="R63" s="0" t="s">
        <v>145</v>
      </c>
      <c r="S63" s="0" t="s">
        <v>163</v>
      </c>
      <c r="T63" s="0" t="s">
        <v>1087</v>
      </c>
    </row>
    <row r="64">
      <c r="A64" s="0" t="s">
        <v>28</v>
      </c>
      <c r="B64" s="0" t="s">
        <v>30</v>
      </c>
      <c r="C64" s="0" t="s">
        <v>162</v>
      </c>
      <c r="D64" s="0" t="s">
        <v>1030</v>
      </c>
      <c r="E64" s="0" t="s">
        <v>1030</v>
      </c>
      <c r="F64" s="0" t="b">
        <v>0</v>
      </c>
      <c r="G64" s="0" t="s">
        <v>1031</v>
      </c>
      <c r="H64" s="0" t="b">
        <v>0</v>
      </c>
      <c r="I64" s="0" t="s">
        <v>114</v>
      </c>
      <c r="J64" s="0">
        <v>12</v>
      </c>
      <c r="K64" s="0">
        <v>40</v>
      </c>
      <c r="L64" s="0">
        <v>276</v>
      </c>
      <c r="M64" s="1">
        <f>=HYPERLINK("10.175.1.14\MWEB.12\BT\EntityDetails.10.175.1.14.MWEB.12._APPDYNAMICS.276.xlsx", "&lt;Detail&gt;")</f>
      </c>
      <c r="N64" s="1">
        <f>=HYPERLINK("10.175.1.14\MWEB.12\BT\MetricGraphs.BT.10.175.1.14.MWEB.12.xlsx", "&lt;Metrics&gt;")</f>
      </c>
      <c r="O64" s="1">
        <f>=HYPERLINK("10.175.1.14\MWEB.12\BT\FlameGraph.BT.10.175.1.14.MWEB.12._APPDYNAMICS.276.svg", "&lt;FlGraph&gt;")</f>
      </c>
      <c r="P64" s="1">
        <f>=HYPERLINK("10.175.1.14\MWEB.12\BT\FlameChart.BT.10.175.1.14.MWEB.12._APPDYNAMICS.276.svg", "&lt;FlChart&gt;")</f>
      </c>
      <c r="Q64" s="0" t="s">
        <v>101</v>
      </c>
      <c r="R64" s="0" t="s">
        <v>145</v>
      </c>
      <c r="S64" s="0" t="s">
        <v>163</v>
      </c>
      <c r="T64" s="0" t="s">
        <v>1088</v>
      </c>
    </row>
    <row r="65">
      <c r="A65" s="0" t="s">
        <v>28</v>
      </c>
      <c r="B65" s="0" t="s">
        <v>30</v>
      </c>
      <c r="C65" s="0" t="s">
        <v>164</v>
      </c>
      <c r="D65" s="0" t="s">
        <v>1089</v>
      </c>
      <c r="E65" s="0" t="s">
        <v>1089</v>
      </c>
      <c r="F65" s="0" t="b">
        <v>0</v>
      </c>
      <c r="G65" s="0" t="s">
        <v>976</v>
      </c>
      <c r="H65" s="0" t="b">
        <v>0</v>
      </c>
      <c r="I65" s="0" t="s">
        <v>114</v>
      </c>
      <c r="J65" s="0">
        <v>12</v>
      </c>
      <c r="K65" s="0">
        <v>36</v>
      </c>
      <c r="L65" s="0">
        <v>169</v>
      </c>
      <c r="M65" s="1">
        <f>=HYPERLINK("10.175.1.14\MWEB.12\BT\EntityDetails.10.175.1.14.MWEB.12.-connect-api.169.xlsx", "&lt;Detail&gt;")</f>
      </c>
      <c r="N65" s="1">
        <f>=HYPERLINK("10.175.1.14\MWEB.12\BT\MetricGraphs.BT.10.175.1.14.MWEB.12.xlsx", "&lt;Metrics&gt;")</f>
      </c>
      <c r="O65" s="1">
        <f>=HYPERLINK("10.175.1.14\MWEB.12\BT\FlameGraph.BT.10.175.1.14.MWEB.12.-connect-api.169.svg", "&lt;FlGraph&gt;")</f>
      </c>
      <c r="P65" s="1">
        <f>=HYPERLINK("10.175.1.14\MWEB.12\BT\FlameChart.BT.10.175.1.14.MWEB.12.-connect-api.169.svg", "&lt;FlChart&gt;")</f>
      </c>
      <c r="Q65" s="0" t="s">
        <v>101</v>
      </c>
      <c r="R65" s="0" t="s">
        <v>145</v>
      </c>
      <c r="S65" s="0" t="s">
        <v>165</v>
      </c>
      <c r="T65" s="0" t="s">
        <v>1090</v>
      </c>
    </row>
    <row r="66">
      <c r="A66" s="0" t="s">
        <v>28</v>
      </c>
      <c r="B66" s="0" t="s">
        <v>30</v>
      </c>
      <c r="C66" s="0" t="s">
        <v>164</v>
      </c>
      <c r="D66" s="0" t="s">
        <v>1091</v>
      </c>
      <c r="E66" s="0" t="s">
        <v>1091</v>
      </c>
      <c r="F66" s="0" t="b">
        <v>0</v>
      </c>
      <c r="G66" s="0" t="s">
        <v>976</v>
      </c>
      <c r="H66" s="0" t="b">
        <v>0</v>
      </c>
      <c r="I66" s="0" t="s">
        <v>114</v>
      </c>
      <c r="J66" s="0">
        <v>12</v>
      </c>
      <c r="K66" s="0">
        <v>36</v>
      </c>
      <c r="L66" s="0">
        <v>317</v>
      </c>
      <c r="M66" s="1">
        <f>=HYPERLINK("10.175.1.14\MWEB.12\BT\EntityDetails.10.175.1.14.MWEB.12.-connect-mob.317.xlsx", "&lt;Detail&gt;")</f>
      </c>
      <c r="N66" s="1">
        <f>=HYPERLINK("10.175.1.14\MWEB.12\BT\MetricGraphs.BT.10.175.1.14.MWEB.12.xlsx", "&lt;Metrics&gt;")</f>
      </c>
      <c r="O66" s="1">
        <f>=HYPERLINK("10.175.1.14\MWEB.12\BT\FlameGraph.BT.10.175.1.14.MWEB.12.-connect-mob.317.svg", "&lt;FlGraph&gt;")</f>
      </c>
      <c r="P66" s="1">
        <f>=HYPERLINK("10.175.1.14\MWEB.12\BT\FlameChart.BT.10.175.1.14.MWEB.12.-connect-mob.317.svg", "&lt;FlChart&gt;")</f>
      </c>
      <c r="Q66" s="0" t="s">
        <v>101</v>
      </c>
      <c r="R66" s="0" t="s">
        <v>145</v>
      </c>
      <c r="S66" s="0" t="s">
        <v>165</v>
      </c>
      <c r="T66" s="0" t="s">
        <v>1092</v>
      </c>
    </row>
    <row r="67">
      <c r="A67" s="0" t="s">
        <v>28</v>
      </c>
      <c r="B67" s="0" t="s">
        <v>30</v>
      </c>
      <c r="C67" s="0" t="s">
        <v>164</v>
      </c>
      <c r="D67" s="0" t="s">
        <v>1093</v>
      </c>
      <c r="E67" s="0" t="s">
        <v>1093</v>
      </c>
      <c r="F67" s="0" t="b">
        <v>0</v>
      </c>
      <c r="G67" s="0" t="s">
        <v>976</v>
      </c>
      <c r="H67" s="0" t="b">
        <v>0</v>
      </c>
      <c r="I67" s="0" t="s">
        <v>114</v>
      </c>
      <c r="J67" s="0">
        <v>12</v>
      </c>
      <c r="K67" s="0">
        <v>36</v>
      </c>
      <c r="L67" s="0">
        <v>365</v>
      </c>
      <c r="M67" s="1">
        <f>=HYPERLINK("10.175.1.14\MWEB.12\BT\EntityDetails.10.175.1.14.MWEB.12.-connect-red.365.xlsx", "&lt;Detail&gt;")</f>
      </c>
      <c r="N67" s="1">
        <f>=HYPERLINK("10.175.1.14\MWEB.12\BT\MetricGraphs.BT.10.175.1.14.MWEB.12.xlsx", "&lt;Metrics&gt;")</f>
      </c>
      <c r="O67" s="1">
        <f>=HYPERLINK("10.175.1.14\MWEB.12\BT\FlameGraph.BT.10.175.1.14.MWEB.12.-connect-red.365.svg", "&lt;FlGraph&gt;")</f>
      </c>
      <c r="P67" s="1">
        <f>=HYPERLINK("10.175.1.14\MWEB.12\BT\FlameChart.BT.10.175.1.14.MWEB.12.-connect-red.365.svg", "&lt;FlChart&gt;")</f>
      </c>
      <c r="Q67" s="0" t="s">
        <v>101</v>
      </c>
      <c r="R67" s="0" t="s">
        <v>145</v>
      </c>
      <c r="S67" s="0" t="s">
        <v>165</v>
      </c>
      <c r="T67" s="0" t="s">
        <v>1094</v>
      </c>
    </row>
    <row r="68">
      <c r="A68" s="0" t="s">
        <v>28</v>
      </c>
      <c r="B68" s="0" t="s">
        <v>30</v>
      </c>
      <c r="C68" s="0" t="s">
        <v>164</v>
      </c>
      <c r="D68" s="0" t="s">
        <v>984</v>
      </c>
      <c r="E68" s="0" t="s">
        <v>984</v>
      </c>
      <c r="F68" s="0" t="b">
        <v>0</v>
      </c>
      <c r="G68" s="0" t="s">
        <v>976</v>
      </c>
      <c r="H68" s="0" t="b">
        <v>0</v>
      </c>
      <c r="I68" s="0" t="s">
        <v>114</v>
      </c>
      <c r="J68" s="0">
        <v>12</v>
      </c>
      <c r="K68" s="0">
        <v>36</v>
      </c>
      <c r="L68" s="0">
        <v>158</v>
      </c>
      <c r="M68" s="1">
        <f>=HYPERLINK("10.175.1.14\MWEB.12\BT\EntityDetails.10.175.1.14.MWEB.12.-HealthMonit.158.xlsx", "&lt;Detail&gt;")</f>
      </c>
      <c r="N68" s="1">
        <f>=HYPERLINK("10.175.1.14\MWEB.12\BT\MetricGraphs.BT.10.175.1.14.MWEB.12.xlsx", "&lt;Metrics&gt;")</f>
      </c>
      <c r="O68" s="1">
        <f>=HYPERLINK("10.175.1.14\MWEB.12\BT\FlameGraph.BT.10.175.1.14.MWEB.12.-HealthMonit.158.svg", "&lt;FlGraph&gt;")</f>
      </c>
      <c r="P68" s="1">
        <f>=HYPERLINK("10.175.1.14\MWEB.12\BT\FlameChart.BT.10.175.1.14.MWEB.12.-HealthMonit.158.svg", "&lt;FlChart&gt;")</f>
      </c>
      <c r="Q68" s="0" t="s">
        <v>101</v>
      </c>
      <c r="R68" s="0" t="s">
        <v>145</v>
      </c>
      <c r="S68" s="0" t="s">
        <v>165</v>
      </c>
      <c r="T68" s="0" t="s">
        <v>1095</v>
      </c>
    </row>
    <row r="69">
      <c r="A69" s="0" t="s">
        <v>28</v>
      </c>
      <c r="B69" s="0" t="s">
        <v>30</v>
      </c>
      <c r="C69" s="0" t="s">
        <v>164</v>
      </c>
      <c r="D69" s="0" t="s">
        <v>1022</v>
      </c>
      <c r="E69" s="0" t="s">
        <v>1022</v>
      </c>
      <c r="F69" s="0" t="b">
        <v>0</v>
      </c>
      <c r="G69" s="0" t="s">
        <v>976</v>
      </c>
      <c r="H69" s="0" t="b">
        <v>0</v>
      </c>
      <c r="I69" s="0" t="s">
        <v>114</v>
      </c>
      <c r="J69" s="0">
        <v>12</v>
      </c>
      <c r="K69" s="0">
        <v>36</v>
      </c>
      <c r="L69" s="0">
        <v>260</v>
      </c>
      <c r="M69" s="1">
        <f>=HYPERLINK("10.175.1.14\MWEB.12\BT\EntityDetails.10.175.1.14.MWEB.12.-IPJSETTLEME.260.xlsx", "&lt;Detail&gt;")</f>
      </c>
      <c r="N69" s="1">
        <f>=HYPERLINK("10.175.1.14\MWEB.12\BT\MetricGraphs.BT.10.175.1.14.MWEB.12.xlsx", "&lt;Metrics&gt;")</f>
      </c>
      <c r="O69" s="1">
        <f>=HYPERLINK("10.175.1.14\MWEB.12\BT\FlameGraph.BT.10.175.1.14.MWEB.12.-IPJSETTLEME.260.svg", "&lt;FlGraph&gt;")</f>
      </c>
      <c r="P69" s="1">
        <f>=HYPERLINK("10.175.1.14\MWEB.12\BT\FlameChart.BT.10.175.1.14.MWEB.12.-IPJSETTLEME.260.svg", "&lt;FlChart&gt;")</f>
      </c>
      <c r="Q69" s="0" t="s">
        <v>101</v>
      </c>
      <c r="R69" s="0" t="s">
        <v>145</v>
      </c>
      <c r="S69" s="0" t="s">
        <v>165</v>
      </c>
      <c r="T69" s="0" t="s">
        <v>1096</v>
      </c>
    </row>
    <row r="70">
      <c r="A70" s="0" t="s">
        <v>28</v>
      </c>
      <c r="B70" s="0" t="s">
        <v>30</v>
      </c>
      <c r="C70" s="0" t="s">
        <v>164</v>
      </c>
      <c r="D70" s="0" t="s">
        <v>1024</v>
      </c>
      <c r="E70" s="0" t="s">
        <v>1024</v>
      </c>
      <c r="F70" s="0" t="b">
        <v>0</v>
      </c>
      <c r="G70" s="0" t="s">
        <v>976</v>
      </c>
      <c r="H70" s="0" t="b">
        <v>0</v>
      </c>
      <c r="I70" s="0" t="s">
        <v>114</v>
      </c>
      <c r="J70" s="0">
        <v>12</v>
      </c>
      <c r="K70" s="0">
        <v>36</v>
      </c>
      <c r="L70" s="0">
        <v>263</v>
      </c>
      <c r="M70" s="1">
        <f>=HYPERLINK("10.175.1.14\MWEB.12\BT\EntityDetails.10.175.1.14.MWEB.12.-JConnect-ac.263.xlsx", "&lt;Detail&gt;")</f>
      </c>
      <c r="N70" s="1">
        <f>=HYPERLINK("10.175.1.14\MWEB.12\BT\MetricGraphs.BT.10.175.1.14.MWEB.12.xlsx", "&lt;Metrics&gt;")</f>
      </c>
      <c r="O70" s="1">
        <f>=HYPERLINK("10.175.1.14\MWEB.12\BT\FlameGraph.BT.10.175.1.14.MWEB.12.-JConnect-ac.263.svg", "&lt;FlGraph&gt;")</f>
      </c>
      <c r="P70" s="1">
        <f>=HYPERLINK("10.175.1.14\MWEB.12\BT\FlameChart.BT.10.175.1.14.MWEB.12.-JConnect-ac.263.svg", "&lt;FlChart&gt;")</f>
      </c>
      <c r="Q70" s="0" t="s">
        <v>101</v>
      </c>
      <c r="R70" s="0" t="s">
        <v>145</v>
      </c>
      <c r="S70" s="0" t="s">
        <v>165</v>
      </c>
      <c r="T70" s="0" t="s">
        <v>1097</v>
      </c>
    </row>
    <row r="71">
      <c r="A71" s="0" t="s">
        <v>28</v>
      </c>
      <c r="B71" s="0" t="s">
        <v>30</v>
      </c>
      <c r="C71" s="0" t="s">
        <v>164</v>
      </c>
      <c r="D71" s="0" t="s">
        <v>1026</v>
      </c>
      <c r="E71" s="0" t="s">
        <v>1026</v>
      </c>
      <c r="F71" s="0" t="b">
        <v>0</v>
      </c>
      <c r="G71" s="0" t="s">
        <v>976</v>
      </c>
      <c r="H71" s="0" t="b">
        <v>0</v>
      </c>
      <c r="I71" s="0" t="s">
        <v>114</v>
      </c>
      <c r="J71" s="0">
        <v>12</v>
      </c>
      <c r="K71" s="0">
        <v>36</v>
      </c>
      <c r="L71" s="0">
        <v>145</v>
      </c>
      <c r="M71" s="1">
        <f>=HYPERLINK("10.175.1.14\MWEB.12\BT\EntityDetails.10.175.1.14.MWEB.12.-management-.145.xlsx", "&lt;Detail&gt;")</f>
      </c>
      <c r="N71" s="1">
        <f>=HYPERLINK("10.175.1.14\MWEB.12\BT\MetricGraphs.BT.10.175.1.14.MWEB.12.xlsx", "&lt;Metrics&gt;")</f>
      </c>
      <c r="O71" s="1">
        <f>=HYPERLINK("10.175.1.14\MWEB.12\BT\FlameGraph.BT.10.175.1.14.MWEB.12.-management-.145.svg", "&lt;FlGraph&gt;")</f>
      </c>
      <c r="P71" s="1">
        <f>=HYPERLINK("10.175.1.14\MWEB.12\BT\FlameChart.BT.10.175.1.14.MWEB.12.-management-.145.svg", "&lt;FlChart&gt;")</f>
      </c>
      <c r="Q71" s="0" t="s">
        <v>101</v>
      </c>
      <c r="R71" s="0" t="s">
        <v>145</v>
      </c>
      <c r="S71" s="0" t="s">
        <v>165</v>
      </c>
      <c r="T71" s="0" t="s">
        <v>1098</v>
      </c>
    </row>
    <row r="72">
      <c r="A72" s="0" t="s">
        <v>28</v>
      </c>
      <c r="B72" s="0" t="s">
        <v>30</v>
      </c>
      <c r="C72" s="0" t="s">
        <v>164</v>
      </c>
      <c r="D72" s="0" t="s">
        <v>1099</v>
      </c>
      <c r="E72" s="0" t="s">
        <v>1099</v>
      </c>
      <c r="F72" s="0" t="b">
        <v>0</v>
      </c>
      <c r="G72" s="0" t="s">
        <v>976</v>
      </c>
      <c r="H72" s="0" t="b">
        <v>0</v>
      </c>
      <c r="I72" s="0" t="s">
        <v>114</v>
      </c>
      <c r="J72" s="0">
        <v>12</v>
      </c>
      <c r="K72" s="0">
        <v>36</v>
      </c>
      <c r="L72" s="0">
        <v>173</v>
      </c>
      <c r="M72" s="1">
        <f>=HYPERLINK("10.175.1.14\MWEB.12\BT\EntityDetails.10.175.1.14.MWEB.12.-master-mana.173.xlsx", "&lt;Detail&gt;")</f>
      </c>
      <c r="N72" s="1">
        <f>=HYPERLINK("10.175.1.14\MWEB.12\BT\MetricGraphs.BT.10.175.1.14.MWEB.12.xlsx", "&lt;Metrics&gt;")</f>
      </c>
      <c r="O72" s="1">
        <f>=HYPERLINK("10.175.1.14\MWEB.12\BT\FlameGraph.BT.10.175.1.14.MWEB.12.-master-mana.173.svg", "&lt;FlGraph&gt;")</f>
      </c>
      <c r="P72" s="1">
        <f>=HYPERLINK("10.175.1.14\MWEB.12\BT\FlameChart.BT.10.175.1.14.MWEB.12.-master-mana.173.svg", "&lt;FlChart&gt;")</f>
      </c>
      <c r="Q72" s="0" t="s">
        <v>101</v>
      </c>
      <c r="R72" s="0" t="s">
        <v>145</v>
      </c>
      <c r="S72" s="0" t="s">
        <v>165</v>
      </c>
      <c r="T72" s="0" t="s">
        <v>1100</v>
      </c>
    </row>
    <row r="73">
      <c r="A73" s="0" t="s">
        <v>28</v>
      </c>
      <c r="B73" s="0" t="s">
        <v>30</v>
      </c>
      <c r="C73" s="0" t="s">
        <v>164</v>
      </c>
      <c r="D73" s="0" t="s">
        <v>1101</v>
      </c>
      <c r="E73" s="0" t="s">
        <v>1101</v>
      </c>
      <c r="F73" s="0" t="b">
        <v>0</v>
      </c>
      <c r="G73" s="0" t="s">
        <v>976</v>
      </c>
      <c r="H73" s="0" t="b">
        <v>0</v>
      </c>
      <c r="I73" s="0" t="s">
        <v>114</v>
      </c>
      <c r="J73" s="0">
        <v>12</v>
      </c>
      <c r="K73" s="0">
        <v>36</v>
      </c>
      <c r="L73" s="0">
        <v>149</v>
      </c>
      <c r="M73" s="1">
        <f>=HYPERLINK("10.175.1.14\MWEB.12\BT\EntityDetails.10.175.1.14.MWEB.12.-ondelay-odc.149.xlsx", "&lt;Detail&gt;")</f>
      </c>
      <c r="N73" s="1">
        <f>=HYPERLINK("10.175.1.14\MWEB.12\BT\MetricGraphs.BT.10.175.1.14.MWEB.12.xlsx", "&lt;Metrics&gt;")</f>
      </c>
      <c r="O73" s="1">
        <f>=HYPERLINK("10.175.1.14\MWEB.12\BT\FlameGraph.BT.10.175.1.14.MWEB.12.-ondelay-odc.149.svg", "&lt;FlGraph&gt;")</f>
      </c>
      <c r="P73" s="1">
        <f>=HYPERLINK("10.175.1.14\MWEB.12\BT\FlameChart.BT.10.175.1.14.MWEB.12.-ondelay-odc.149.svg", "&lt;FlChart&gt;")</f>
      </c>
      <c r="Q73" s="0" t="s">
        <v>101</v>
      </c>
      <c r="R73" s="0" t="s">
        <v>145</v>
      </c>
      <c r="S73" s="0" t="s">
        <v>165</v>
      </c>
      <c r="T73" s="0" t="s">
        <v>1102</v>
      </c>
    </row>
    <row r="74">
      <c r="A74" s="0" t="s">
        <v>28</v>
      </c>
      <c r="B74" s="0" t="s">
        <v>30</v>
      </c>
      <c r="C74" s="0" t="s">
        <v>164</v>
      </c>
      <c r="D74" s="0" t="s">
        <v>1103</v>
      </c>
      <c r="E74" s="0" t="s">
        <v>1103</v>
      </c>
      <c r="F74" s="0" t="b">
        <v>0</v>
      </c>
      <c r="G74" s="0" t="s">
        <v>976</v>
      </c>
      <c r="H74" s="0" t="b">
        <v>0</v>
      </c>
      <c r="I74" s="0" t="s">
        <v>114</v>
      </c>
      <c r="J74" s="0">
        <v>12</v>
      </c>
      <c r="K74" s="0">
        <v>36</v>
      </c>
      <c r="L74" s="0">
        <v>391</v>
      </c>
      <c r="M74" s="1">
        <f>=HYPERLINK("10.175.1.14\MWEB.12\BT\EntityDetails.10.175.1.14.MWEB.12.-remote-arti.391.xlsx", "&lt;Detail&gt;")</f>
      </c>
      <c r="N74" s="1">
        <f>=HYPERLINK("10.175.1.14\MWEB.12\BT\MetricGraphs.BT.10.175.1.14.MWEB.12.xlsx", "&lt;Metrics&gt;")</f>
      </c>
      <c r="O74" s="1">
        <f>=HYPERLINK("10.175.1.14\MWEB.12\BT\FlameGraph.BT.10.175.1.14.MWEB.12.-remote-arti.391.svg", "&lt;FlGraph&gt;")</f>
      </c>
      <c r="P74" s="1">
        <f>=HYPERLINK("10.175.1.14\MWEB.12\BT\FlameChart.BT.10.175.1.14.MWEB.12.-remote-arti.391.svg", "&lt;FlChart&gt;")</f>
      </c>
      <c r="Q74" s="0" t="s">
        <v>101</v>
      </c>
      <c r="R74" s="0" t="s">
        <v>145</v>
      </c>
      <c r="S74" s="0" t="s">
        <v>165</v>
      </c>
      <c r="T74" s="0" t="s">
        <v>1104</v>
      </c>
    </row>
    <row r="75">
      <c r="A75" s="0" t="s">
        <v>28</v>
      </c>
      <c r="B75" s="0" t="s">
        <v>30</v>
      </c>
      <c r="C75" s="0" t="s">
        <v>164</v>
      </c>
      <c r="D75" s="0" t="s">
        <v>1105</v>
      </c>
      <c r="E75" s="0" t="s">
        <v>1105</v>
      </c>
      <c r="F75" s="0" t="b">
        <v>0</v>
      </c>
      <c r="G75" s="0" t="s">
        <v>976</v>
      </c>
      <c r="H75" s="0" t="b">
        <v>0</v>
      </c>
      <c r="I75" s="0" t="s">
        <v>114</v>
      </c>
      <c r="J75" s="0">
        <v>12</v>
      </c>
      <c r="K75" s="0">
        <v>36</v>
      </c>
      <c r="L75" s="0">
        <v>387</v>
      </c>
      <c r="M75" s="1">
        <f>=HYPERLINK("10.175.1.14\MWEB.12\BT\EntityDetails.10.175.1.14.MWEB.12.-remote-arti.387.xlsx", "&lt;Detail&gt;")</f>
      </c>
      <c r="N75" s="1">
        <f>=HYPERLINK("10.175.1.14\MWEB.12\BT\MetricGraphs.BT.10.175.1.14.MWEB.12.xlsx", "&lt;Metrics&gt;")</f>
      </c>
      <c r="O75" s="1">
        <f>=HYPERLINK("10.175.1.14\MWEB.12\BT\FlameGraph.BT.10.175.1.14.MWEB.12.-remote-arti.387.svg", "&lt;FlGraph&gt;")</f>
      </c>
      <c r="P75" s="1">
        <f>=HYPERLINK("10.175.1.14\MWEB.12\BT\FlameChart.BT.10.175.1.14.MWEB.12.-remote-arti.387.svg", "&lt;FlChart&gt;")</f>
      </c>
      <c r="Q75" s="0" t="s">
        <v>101</v>
      </c>
      <c r="R75" s="0" t="s">
        <v>145</v>
      </c>
      <c r="S75" s="0" t="s">
        <v>165</v>
      </c>
      <c r="T75" s="0" t="s">
        <v>1106</v>
      </c>
    </row>
    <row r="76">
      <c r="A76" s="0" t="s">
        <v>28</v>
      </c>
      <c r="B76" s="0" t="s">
        <v>30</v>
      </c>
      <c r="C76" s="0" t="s">
        <v>164</v>
      </c>
      <c r="D76" s="0" t="s">
        <v>1107</v>
      </c>
      <c r="E76" s="0" t="s">
        <v>1107</v>
      </c>
      <c r="F76" s="0" t="b">
        <v>0</v>
      </c>
      <c r="G76" s="0" t="s">
        <v>976</v>
      </c>
      <c r="H76" s="0" t="b">
        <v>0</v>
      </c>
      <c r="I76" s="0" t="s">
        <v>114</v>
      </c>
      <c r="J76" s="0">
        <v>12</v>
      </c>
      <c r="K76" s="0">
        <v>36</v>
      </c>
      <c r="L76" s="0">
        <v>388</v>
      </c>
      <c r="M76" s="1">
        <f>=HYPERLINK("10.175.1.14\MWEB.12\BT\EntityDetails.10.175.1.14.MWEB.12.-remote-back.388.xlsx", "&lt;Detail&gt;")</f>
      </c>
      <c r="N76" s="1">
        <f>=HYPERLINK("10.175.1.14\MWEB.12\BT\MetricGraphs.BT.10.175.1.14.MWEB.12.xlsx", "&lt;Metrics&gt;")</f>
      </c>
      <c r="O76" s="1">
        <f>=HYPERLINK("10.175.1.14\MWEB.12\BT\FlameGraph.BT.10.175.1.14.MWEB.12.-remote-back.388.svg", "&lt;FlGraph&gt;")</f>
      </c>
      <c r="P76" s="1">
        <f>=HYPERLINK("10.175.1.14\MWEB.12\BT\FlameChart.BT.10.175.1.14.MWEB.12.-remote-back.388.svg", "&lt;FlChart&gt;")</f>
      </c>
      <c r="Q76" s="0" t="s">
        <v>101</v>
      </c>
      <c r="R76" s="0" t="s">
        <v>145</v>
      </c>
      <c r="S76" s="0" t="s">
        <v>165</v>
      </c>
      <c r="T76" s="0" t="s">
        <v>1108</v>
      </c>
    </row>
    <row r="77">
      <c r="A77" s="0" t="s">
        <v>28</v>
      </c>
      <c r="B77" s="0" t="s">
        <v>30</v>
      </c>
      <c r="C77" s="0" t="s">
        <v>164</v>
      </c>
      <c r="D77" s="0" t="s">
        <v>1109</v>
      </c>
      <c r="E77" s="0" t="s">
        <v>1109</v>
      </c>
      <c r="F77" s="0" t="b">
        <v>0</v>
      </c>
      <c r="G77" s="0" t="s">
        <v>976</v>
      </c>
      <c r="H77" s="0" t="b">
        <v>0</v>
      </c>
      <c r="I77" s="0" t="s">
        <v>114</v>
      </c>
      <c r="J77" s="0">
        <v>12</v>
      </c>
      <c r="K77" s="0">
        <v>36</v>
      </c>
      <c r="L77" s="0">
        <v>389</v>
      </c>
      <c r="M77" s="1">
        <f>=HYPERLINK("10.175.1.14\MWEB.12\BT\EntityDetails.10.175.1.14.MWEB.12.-remote-down.389.xlsx", "&lt;Detail&gt;")</f>
      </c>
      <c r="N77" s="1">
        <f>=HYPERLINK("10.175.1.14\MWEB.12\BT\MetricGraphs.BT.10.175.1.14.MWEB.12.xlsx", "&lt;Metrics&gt;")</f>
      </c>
      <c r="O77" s="1">
        <f>=HYPERLINK("10.175.1.14\MWEB.12\BT\FlameGraph.BT.10.175.1.14.MWEB.12.-remote-down.389.svg", "&lt;FlGraph&gt;")</f>
      </c>
      <c r="P77" s="1">
        <f>=HYPERLINK("10.175.1.14\MWEB.12\BT\FlameChart.BT.10.175.1.14.MWEB.12.-remote-down.389.svg", "&lt;FlChart&gt;")</f>
      </c>
      <c r="Q77" s="0" t="s">
        <v>101</v>
      </c>
      <c r="R77" s="0" t="s">
        <v>145</v>
      </c>
      <c r="S77" s="0" t="s">
        <v>165</v>
      </c>
      <c r="T77" s="0" t="s">
        <v>1110</v>
      </c>
    </row>
    <row r="78">
      <c r="A78" s="0" t="s">
        <v>28</v>
      </c>
      <c r="B78" s="0" t="s">
        <v>30</v>
      </c>
      <c r="C78" s="0" t="s">
        <v>164</v>
      </c>
      <c r="D78" s="0" t="s">
        <v>1111</v>
      </c>
      <c r="E78" s="0" t="s">
        <v>1111</v>
      </c>
      <c r="F78" s="0" t="b">
        <v>0</v>
      </c>
      <c r="G78" s="0" t="s">
        <v>976</v>
      </c>
      <c r="H78" s="0" t="b">
        <v>0</v>
      </c>
      <c r="I78" s="0" t="s">
        <v>114</v>
      </c>
      <c r="J78" s="0">
        <v>12</v>
      </c>
      <c r="K78" s="0">
        <v>36</v>
      </c>
      <c r="L78" s="0">
        <v>394</v>
      </c>
      <c r="M78" s="1">
        <f>=HYPERLINK("10.175.1.14\MWEB.12\BT\EntityDetails.10.175.1.14.MWEB.12.-remote-erro.394.xlsx", "&lt;Detail&gt;")</f>
      </c>
      <c r="N78" s="1">
        <f>=HYPERLINK("10.175.1.14\MWEB.12\BT\MetricGraphs.BT.10.175.1.14.MWEB.12.xlsx", "&lt;Metrics&gt;")</f>
      </c>
      <c r="O78" s="1">
        <f>=HYPERLINK("10.175.1.14\MWEB.12\BT\FlameGraph.BT.10.175.1.14.MWEB.12.-remote-erro.394.svg", "&lt;FlGraph&gt;")</f>
      </c>
      <c r="P78" s="1">
        <f>=HYPERLINK("10.175.1.14\MWEB.12\BT\FlameChart.BT.10.175.1.14.MWEB.12.-remote-erro.394.svg", "&lt;FlChart&gt;")</f>
      </c>
      <c r="Q78" s="0" t="s">
        <v>101</v>
      </c>
      <c r="R78" s="0" t="s">
        <v>145</v>
      </c>
      <c r="S78" s="0" t="s">
        <v>165</v>
      </c>
      <c r="T78" s="0" t="s">
        <v>1112</v>
      </c>
    </row>
    <row r="79">
      <c r="A79" s="0" t="s">
        <v>28</v>
      </c>
      <c r="B79" s="0" t="s">
        <v>30</v>
      </c>
      <c r="C79" s="0" t="s">
        <v>164</v>
      </c>
      <c r="D79" s="0" t="s">
        <v>1113</v>
      </c>
      <c r="E79" s="0" t="s">
        <v>1113</v>
      </c>
      <c r="F79" s="0" t="b">
        <v>0</v>
      </c>
      <c r="G79" s="0" t="s">
        <v>976</v>
      </c>
      <c r="H79" s="0" t="b">
        <v>0</v>
      </c>
      <c r="I79" s="0" t="s">
        <v>114</v>
      </c>
      <c r="J79" s="0">
        <v>12</v>
      </c>
      <c r="K79" s="0">
        <v>36</v>
      </c>
      <c r="L79" s="0">
        <v>392</v>
      </c>
      <c r="M79" s="1">
        <f>=HYPERLINK("10.175.1.14\MWEB.12\BT\EntityDetails.10.175.1.14.MWEB.12.-remote-erro.392.xlsx", "&lt;Detail&gt;")</f>
      </c>
      <c r="N79" s="1">
        <f>=HYPERLINK("10.175.1.14\MWEB.12\BT\MetricGraphs.BT.10.175.1.14.MWEB.12.xlsx", "&lt;Metrics&gt;")</f>
      </c>
      <c r="O79" s="1">
        <f>=HYPERLINK("10.175.1.14\MWEB.12\BT\FlameGraph.BT.10.175.1.14.MWEB.12.-remote-erro.392.svg", "&lt;FlGraph&gt;")</f>
      </c>
      <c r="P79" s="1">
        <f>=HYPERLINK("10.175.1.14\MWEB.12\BT\FlameChart.BT.10.175.1.14.MWEB.12.-remote-erro.392.svg", "&lt;FlChart&gt;")</f>
      </c>
      <c r="Q79" s="0" t="s">
        <v>101</v>
      </c>
      <c r="R79" s="0" t="s">
        <v>145</v>
      </c>
      <c r="S79" s="0" t="s">
        <v>165</v>
      </c>
      <c r="T79" s="0" t="s">
        <v>1114</v>
      </c>
    </row>
    <row r="80">
      <c r="A80" s="0" t="s">
        <v>28</v>
      </c>
      <c r="B80" s="0" t="s">
        <v>30</v>
      </c>
      <c r="C80" s="0" t="s">
        <v>164</v>
      </c>
      <c r="D80" s="0" t="s">
        <v>1115</v>
      </c>
      <c r="E80" s="0" t="s">
        <v>1115</v>
      </c>
      <c r="F80" s="0" t="b">
        <v>0</v>
      </c>
      <c r="G80" s="0" t="s">
        <v>976</v>
      </c>
      <c r="H80" s="0" t="b">
        <v>0</v>
      </c>
      <c r="I80" s="0" t="s">
        <v>114</v>
      </c>
      <c r="J80" s="0">
        <v>12</v>
      </c>
      <c r="K80" s="0">
        <v>36</v>
      </c>
      <c r="L80" s="0">
        <v>393</v>
      </c>
      <c r="M80" s="1">
        <f>=HYPERLINK("10.175.1.14\MWEB.12\BT\EntityDetails.10.175.1.14.MWEB.12.-remote-erro.393.xlsx", "&lt;Detail&gt;")</f>
      </c>
      <c r="N80" s="1">
        <f>=HYPERLINK("10.175.1.14\MWEB.12\BT\MetricGraphs.BT.10.175.1.14.MWEB.12.xlsx", "&lt;Metrics&gt;")</f>
      </c>
      <c r="O80" s="1">
        <f>=HYPERLINK("10.175.1.14\MWEB.12\BT\FlameGraph.BT.10.175.1.14.MWEB.12.-remote-erro.393.svg", "&lt;FlGraph&gt;")</f>
      </c>
      <c r="P80" s="1">
        <f>=HYPERLINK("10.175.1.14\MWEB.12\BT\FlameChart.BT.10.175.1.14.MWEB.12.-remote-erro.393.svg", "&lt;FlChart&gt;")</f>
      </c>
      <c r="Q80" s="0" t="s">
        <v>101</v>
      </c>
      <c r="R80" s="0" t="s">
        <v>145</v>
      </c>
      <c r="S80" s="0" t="s">
        <v>165</v>
      </c>
      <c r="T80" s="0" t="s">
        <v>1116</v>
      </c>
    </row>
    <row r="81">
      <c r="A81" s="0" t="s">
        <v>28</v>
      </c>
      <c r="B81" s="0" t="s">
        <v>30</v>
      </c>
      <c r="C81" s="0" t="s">
        <v>164</v>
      </c>
      <c r="D81" s="0" t="s">
        <v>1117</v>
      </c>
      <c r="E81" s="0" t="s">
        <v>1117</v>
      </c>
      <c r="F81" s="0" t="b">
        <v>0</v>
      </c>
      <c r="G81" s="0" t="s">
        <v>976</v>
      </c>
      <c r="H81" s="0" t="b">
        <v>0</v>
      </c>
      <c r="I81" s="0" t="s">
        <v>114</v>
      </c>
      <c r="J81" s="0">
        <v>12</v>
      </c>
      <c r="K81" s="0">
        <v>36</v>
      </c>
      <c r="L81" s="0">
        <v>319</v>
      </c>
      <c r="M81" s="1">
        <f>=HYPERLINK("10.175.1.14\MWEB.12\BT\EntityDetails.10.175.1.14.MWEB.12.-remote-stat.319.xlsx", "&lt;Detail&gt;")</f>
      </c>
      <c r="N81" s="1">
        <f>=HYPERLINK("10.175.1.14\MWEB.12\BT\MetricGraphs.BT.10.175.1.14.MWEB.12.xlsx", "&lt;Metrics&gt;")</f>
      </c>
      <c r="O81" s="1">
        <f>=HYPERLINK("10.175.1.14\MWEB.12\BT\FlameGraph.BT.10.175.1.14.MWEB.12.-remote-stat.319.svg", "&lt;FlGraph&gt;")</f>
      </c>
      <c r="P81" s="1">
        <f>=HYPERLINK("10.175.1.14\MWEB.12\BT\FlameChart.BT.10.175.1.14.MWEB.12.-remote-stat.319.svg", "&lt;FlChart&gt;")</f>
      </c>
      <c r="Q81" s="0" t="s">
        <v>101</v>
      </c>
      <c r="R81" s="0" t="s">
        <v>145</v>
      </c>
      <c r="S81" s="0" t="s">
        <v>165</v>
      </c>
      <c r="T81" s="0" t="s">
        <v>1118</v>
      </c>
    </row>
    <row r="82">
      <c r="A82" s="0" t="s">
        <v>28</v>
      </c>
      <c r="B82" s="0" t="s">
        <v>30</v>
      </c>
      <c r="C82" s="0" t="s">
        <v>164</v>
      </c>
      <c r="D82" s="0" t="s">
        <v>1119</v>
      </c>
      <c r="E82" s="0" t="s">
        <v>1119</v>
      </c>
      <c r="F82" s="0" t="b">
        <v>0</v>
      </c>
      <c r="G82" s="0" t="s">
        <v>976</v>
      </c>
      <c r="H82" s="0" t="b">
        <v>0</v>
      </c>
      <c r="I82" s="0" t="s">
        <v>114</v>
      </c>
      <c r="J82" s="0">
        <v>12</v>
      </c>
      <c r="K82" s="0">
        <v>36</v>
      </c>
      <c r="L82" s="0">
        <v>390</v>
      </c>
      <c r="M82" s="1">
        <f>=HYPERLINK("10.175.1.14\MWEB.12\BT\EntityDetails.10.175.1.14.MWEB.12.-remote-uplo.390.xlsx", "&lt;Detail&gt;")</f>
      </c>
      <c r="N82" s="1">
        <f>=HYPERLINK("10.175.1.14\MWEB.12\BT\MetricGraphs.BT.10.175.1.14.MWEB.12.xlsx", "&lt;Metrics&gt;")</f>
      </c>
      <c r="O82" s="1">
        <f>=HYPERLINK("10.175.1.14\MWEB.12\BT\FlameGraph.BT.10.175.1.14.MWEB.12.-remote-uplo.390.svg", "&lt;FlGraph&gt;")</f>
      </c>
      <c r="P82" s="1">
        <f>=HYPERLINK("10.175.1.14\MWEB.12\BT\FlameChart.BT.10.175.1.14.MWEB.12.-remote-uplo.390.svg", "&lt;FlChart&gt;")</f>
      </c>
      <c r="Q82" s="0" t="s">
        <v>101</v>
      </c>
      <c r="R82" s="0" t="s">
        <v>145</v>
      </c>
      <c r="S82" s="0" t="s">
        <v>165</v>
      </c>
      <c r="T82" s="0" t="s">
        <v>1120</v>
      </c>
    </row>
    <row r="83">
      <c r="A83" s="0" t="s">
        <v>28</v>
      </c>
      <c r="B83" s="0" t="s">
        <v>30</v>
      </c>
      <c r="C83" s="0" t="s">
        <v>164</v>
      </c>
      <c r="D83" s="0" t="s">
        <v>1030</v>
      </c>
      <c r="E83" s="0" t="s">
        <v>1030</v>
      </c>
      <c r="F83" s="0" t="b">
        <v>0</v>
      </c>
      <c r="G83" s="0" t="s">
        <v>1031</v>
      </c>
      <c r="H83" s="0" t="b">
        <v>0</v>
      </c>
      <c r="I83" s="0" t="s">
        <v>114</v>
      </c>
      <c r="J83" s="0">
        <v>12</v>
      </c>
      <c r="K83" s="0">
        <v>36</v>
      </c>
      <c r="L83" s="0">
        <v>143</v>
      </c>
      <c r="M83" s="1">
        <f>=HYPERLINK("10.175.1.14\MWEB.12\BT\EntityDetails.10.175.1.14.MWEB.12._APPDYNAMICS.143.xlsx", "&lt;Detail&gt;")</f>
      </c>
      <c r="N83" s="1">
        <f>=HYPERLINK("10.175.1.14\MWEB.12\BT\MetricGraphs.BT.10.175.1.14.MWEB.12.xlsx", "&lt;Metrics&gt;")</f>
      </c>
      <c r="O83" s="1">
        <f>=HYPERLINK("10.175.1.14\MWEB.12\BT\FlameGraph.BT.10.175.1.14.MWEB.12._APPDYNAMICS.143.svg", "&lt;FlGraph&gt;")</f>
      </c>
      <c r="P83" s="1">
        <f>=HYPERLINK("10.175.1.14\MWEB.12\BT\FlameChart.BT.10.175.1.14.MWEB.12._APPDYNAMICS.143.svg", "&lt;FlChart&gt;")</f>
      </c>
      <c r="Q83" s="0" t="s">
        <v>101</v>
      </c>
      <c r="R83" s="0" t="s">
        <v>145</v>
      </c>
      <c r="S83" s="0" t="s">
        <v>165</v>
      </c>
      <c r="T83" s="0" t="s">
        <v>1121</v>
      </c>
    </row>
    <row r="84">
      <c r="A84" s="0" t="s">
        <v>28</v>
      </c>
      <c r="B84" s="0" t="s">
        <v>30</v>
      </c>
      <c r="C84" s="0" t="s">
        <v>164</v>
      </c>
      <c r="D84" s="0" t="s">
        <v>1122</v>
      </c>
      <c r="E84" s="0" t="s">
        <v>1122</v>
      </c>
      <c r="F84" s="0" t="b">
        <v>0</v>
      </c>
      <c r="G84" s="0" t="s">
        <v>976</v>
      </c>
      <c r="H84" s="0" t="b">
        <v>0</v>
      </c>
      <c r="I84" s="0" t="s">
        <v>114</v>
      </c>
      <c r="J84" s="0">
        <v>12</v>
      </c>
      <c r="K84" s="0">
        <v>36</v>
      </c>
      <c r="L84" s="0">
        <v>481</v>
      </c>
      <c r="M84" s="1">
        <f>=HYPERLINK("10.175.1.14\MWEB.12\BT\EntityDetails.10.175.1.14.MWEB.12.TougouWebLog.481.xlsx", "&lt;Detail&gt;")</f>
      </c>
      <c r="N84" s="1">
        <f>=HYPERLINK("10.175.1.14\MWEB.12\BT\MetricGraphs.BT.10.175.1.14.MWEB.12.xlsx", "&lt;Metrics&gt;")</f>
      </c>
      <c r="O84" s="1">
        <f>=HYPERLINK("10.175.1.14\MWEB.12\BT\FlameGraph.BT.10.175.1.14.MWEB.12.TougouWebLog.481.svg", "&lt;FlGraph&gt;")</f>
      </c>
      <c r="P84" s="1">
        <f>=HYPERLINK("10.175.1.14\MWEB.12\BT\FlameChart.BT.10.175.1.14.MWEB.12.TougouWebLog.481.svg", "&lt;FlChart&gt;")</f>
      </c>
      <c r="Q84" s="0" t="s">
        <v>101</v>
      </c>
      <c r="R84" s="0" t="s">
        <v>145</v>
      </c>
      <c r="S84" s="0" t="s">
        <v>165</v>
      </c>
      <c r="T84" s="0" t="s">
        <v>1123</v>
      </c>
    </row>
    <row r="85">
      <c r="A85" s="0" t="s">
        <v>28</v>
      </c>
      <c r="B85" s="0" t="s">
        <v>30</v>
      </c>
      <c r="C85" s="0" t="s">
        <v>166</v>
      </c>
      <c r="D85" s="0" t="s">
        <v>1089</v>
      </c>
      <c r="E85" s="0" t="s">
        <v>1089</v>
      </c>
      <c r="F85" s="0" t="b">
        <v>0</v>
      </c>
      <c r="G85" s="0" t="s">
        <v>976</v>
      </c>
      <c r="H85" s="0" t="b">
        <v>0</v>
      </c>
      <c r="I85" s="0" t="s">
        <v>114</v>
      </c>
      <c r="J85" s="0">
        <v>12</v>
      </c>
      <c r="K85" s="0">
        <v>37</v>
      </c>
      <c r="L85" s="0">
        <v>204</v>
      </c>
      <c r="M85" s="1">
        <f>=HYPERLINK("10.175.1.14\MWEB.12\BT\EntityDetails.10.175.1.14.MWEB.12.-connect-api.204.xlsx", "&lt;Detail&gt;")</f>
      </c>
      <c r="N85" s="1">
        <f>=HYPERLINK("10.175.1.14\MWEB.12\BT\MetricGraphs.BT.10.175.1.14.MWEB.12.xlsx", "&lt;Metrics&gt;")</f>
      </c>
      <c r="O85" s="1">
        <f>=HYPERLINK("10.175.1.14\MWEB.12\BT\FlameGraph.BT.10.175.1.14.MWEB.12.-connect-api.204.svg", "&lt;FlGraph&gt;")</f>
      </c>
      <c r="P85" s="1">
        <f>=HYPERLINK("10.175.1.14\MWEB.12\BT\FlameChart.BT.10.175.1.14.MWEB.12.-connect-api.204.svg", "&lt;FlChart&gt;")</f>
      </c>
      <c r="Q85" s="0" t="s">
        <v>101</v>
      </c>
      <c r="R85" s="0" t="s">
        <v>145</v>
      </c>
      <c r="S85" s="0" t="s">
        <v>167</v>
      </c>
      <c r="T85" s="0" t="s">
        <v>1124</v>
      </c>
    </row>
    <row r="86">
      <c r="A86" s="0" t="s">
        <v>28</v>
      </c>
      <c r="B86" s="0" t="s">
        <v>30</v>
      </c>
      <c r="C86" s="0" t="s">
        <v>166</v>
      </c>
      <c r="D86" s="0" t="s">
        <v>984</v>
      </c>
      <c r="E86" s="0" t="s">
        <v>984</v>
      </c>
      <c r="F86" s="0" t="b">
        <v>0</v>
      </c>
      <c r="G86" s="0" t="s">
        <v>976</v>
      </c>
      <c r="H86" s="0" t="b">
        <v>0</v>
      </c>
      <c r="I86" s="0" t="s">
        <v>114</v>
      </c>
      <c r="J86" s="0">
        <v>12</v>
      </c>
      <c r="K86" s="0">
        <v>37</v>
      </c>
      <c r="L86" s="0">
        <v>207</v>
      </c>
      <c r="M86" s="1">
        <f>=HYPERLINK("10.175.1.14\MWEB.12\BT\EntityDetails.10.175.1.14.MWEB.12.-HealthMonit.207.xlsx", "&lt;Detail&gt;")</f>
      </c>
      <c r="N86" s="1">
        <f>=HYPERLINK("10.175.1.14\MWEB.12\BT\MetricGraphs.BT.10.175.1.14.MWEB.12.xlsx", "&lt;Metrics&gt;")</f>
      </c>
      <c r="O86" s="1">
        <f>=HYPERLINK("10.175.1.14\MWEB.12\BT\FlameGraph.BT.10.175.1.14.MWEB.12.-HealthMonit.207.svg", "&lt;FlGraph&gt;")</f>
      </c>
      <c r="P86" s="1">
        <f>=HYPERLINK("10.175.1.14\MWEB.12\BT\FlameChart.BT.10.175.1.14.MWEB.12.-HealthMonit.207.svg", "&lt;FlChart&gt;")</f>
      </c>
      <c r="Q86" s="0" t="s">
        <v>101</v>
      </c>
      <c r="R86" s="0" t="s">
        <v>145</v>
      </c>
      <c r="S86" s="0" t="s">
        <v>167</v>
      </c>
      <c r="T86" s="0" t="s">
        <v>1125</v>
      </c>
    </row>
    <row r="87">
      <c r="A87" s="0" t="s">
        <v>28</v>
      </c>
      <c r="B87" s="0" t="s">
        <v>30</v>
      </c>
      <c r="C87" s="0" t="s">
        <v>166</v>
      </c>
      <c r="D87" s="0" t="s">
        <v>1026</v>
      </c>
      <c r="E87" s="0" t="s">
        <v>1026</v>
      </c>
      <c r="F87" s="0" t="b">
        <v>0</v>
      </c>
      <c r="G87" s="0" t="s">
        <v>976</v>
      </c>
      <c r="H87" s="0" t="b">
        <v>0</v>
      </c>
      <c r="I87" s="0" t="s">
        <v>114</v>
      </c>
      <c r="J87" s="0">
        <v>12</v>
      </c>
      <c r="K87" s="0">
        <v>37</v>
      </c>
      <c r="L87" s="0">
        <v>195</v>
      </c>
      <c r="M87" s="1">
        <f>=HYPERLINK("10.175.1.14\MWEB.12\BT\EntityDetails.10.175.1.14.MWEB.12.-management-.195.xlsx", "&lt;Detail&gt;")</f>
      </c>
      <c r="N87" s="1">
        <f>=HYPERLINK("10.175.1.14\MWEB.12\BT\MetricGraphs.BT.10.175.1.14.MWEB.12.xlsx", "&lt;Metrics&gt;")</f>
      </c>
      <c r="O87" s="1">
        <f>=HYPERLINK("10.175.1.14\MWEB.12\BT\FlameGraph.BT.10.175.1.14.MWEB.12.-management-.195.svg", "&lt;FlGraph&gt;")</f>
      </c>
      <c r="P87" s="1">
        <f>=HYPERLINK("10.175.1.14\MWEB.12\BT\FlameChart.BT.10.175.1.14.MWEB.12.-management-.195.svg", "&lt;FlChart&gt;")</f>
      </c>
      <c r="Q87" s="0" t="s">
        <v>101</v>
      </c>
      <c r="R87" s="0" t="s">
        <v>145</v>
      </c>
      <c r="S87" s="0" t="s">
        <v>167</v>
      </c>
      <c r="T87" s="0" t="s">
        <v>1126</v>
      </c>
    </row>
    <row r="88">
      <c r="A88" s="0" t="s">
        <v>28</v>
      </c>
      <c r="B88" s="0" t="s">
        <v>30</v>
      </c>
      <c r="C88" s="0" t="s">
        <v>166</v>
      </c>
      <c r="D88" s="0" t="s">
        <v>1030</v>
      </c>
      <c r="E88" s="0" t="s">
        <v>1030</v>
      </c>
      <c r="F88" s="0" t="b">
        <v>0</v>
      </c>
      <c r="G88" s="0" t="s">
        <v>1031</v>
      </c>
      <c r="H88" s="0" t="b">
        <v>0</v>
      </c>
      <c r="I88" s="0" t="s">
        <v>114</v>
      </c>
      <c r="J88" s="0">
        <v>12</v>
      </c>
      <c r="K88" s="0">
        <v>37</v>
      </c>
      <c r="L88" s="0">
        <v>200</v>
      </c>
      <c r="M88" s="1">
        <f>=HYPERLINK("10.175.1.14\MWEB.12\BT\EntityDetails.10.175.1.14.MWEB.12._APPDYNAMICS.200.xlsx", "&lt;Detail&gt;")</f>
      </c>
      <c r="N88" s="1">
        <f>=HYPERLINK("10.175.1.14\MWEB.12\BT\MetricGraphs.BT.10.175.1.14.MWEB.12.xlsx", "&lt;Metrics&gt;")</f>
      </c>
      <c r="O88" s="1">
        <f>=HYPERLINK("10.175.1.14\MWEB.12\BT\FlameGraph.BT.10.175.1.14.MWEB.12._APPDYNAMICS.200.svg", "&lt;FlGraph&gt;")</f>
      </c>
      <c r="P88" s="1">
        <f>=HYPERLINK("10.175.1.14\MWEB.12\BT\FlameChart.BT.10.175.1.14.MWEB.12._APPDYNAMICS.200.svg", "&lt;FlChart&gt;")</f>
      </c>
      <c r="Q88" s="0" t="s">
        <v>101</v>
      </c>
      <c r="R88" s="0" t="s">
        <v>145</v>
      </c>
      <c r="S88" s="0" t="s">
        <v>167</v>
      </c>
      <c r="T88" s="0" t="s">
        <v>1127</v>
      </c>
    </row>
    <row r="89">
      <c r="A89" s="0" t="s">
        <v>28</v>
      </c>
      <c r="B89" s="0" t="s">
        <v>30</v>
      </c>
      <c r="C89" s="0" t="s">
        <v>166</v>
      </c>
      <c r="D89" s="0" t="s">
        <v>1122</v>
      </c>
      <c r="E89" s="0" t="s">
        <v>1122</v>
      </c>
      <c r="F89" s="0" t="b">
        <v>0</v>
      </c>
      <c r="G89" s="0" t="s">
        <v>976</v>
      </c>
      <c r="H89" s="0" t="b">
        <v>0</v>
      </c>
      <c r="I89" s="0" t="s">
        <v>114</v>
      </c>
      <c r="J89" s="0">
        <v>12</v>
      </c>
      <c r="K89" s="0">
        <v>37</v>
      </c>
      <c r="L89" s="0">
        <v>482</v>
      </c>
      <c r="M89" s="1">
        <f>=HYPERLINK("10.175.1.14\MWEB.12\BT\EntityDetails.10.175.1.14.MWEB.12.TougouWebLog.482.xlsx", "&lt;Detail&gt;")</f>
      </c>
      <c r="N89" s="1">
        <f>=HYPERLINK("10.175.1.14\MWEB.12\BT\MetricGraphs.BT.10.175.1.14.MWEB.12.xlsx", "&lt;Metrics&gt;")</f>
      </c>
      <c r="O89" s="1">
        <f>=HYPERLINK("10.175.1.14\MWEB.12\BT\FlameGraph.BT.10.175.1.14.MWEB.12.TougouWebLog.482.svg", "&lt;FlGraph&gt;")</f>
      </c>
      <c r="P89" s="1">
        <f>=HYPERLINK("10.175.1.14\MWEB.12\BT\FlameChart.BT.10.175.1.14.MWEB.12.TougouWebLog.482.svg", "&lt;FlChart&gt;")</f>
      </c>
      <c r="Q89" s="0" t="s">
        <v>101</v>
      </c>
      <c r="R89" s="0" t="s">
        <v>145</v>
      </c>
      <c r="S89" s="0" t="s">
        <v>167</v>
      </c>
      <c r="T89" s="0" t="s">
        <v>1128</v>
      </c>
    </row>
    <row r="90">
      <c r="A90" s="0" t="s">
        <v>28</v>
      </c>
      <c r="B90" s="0" t="s">
        <v>30</v>
      </c>
      <c r="C90" s="0" t="s">
        <v>168</v>
      </c>
      <c r="D90" s="0" t="s">
        <v>1089</v>
      </c>
      <c r="E90" s="0" t="s">
        <v>1089</v>
      </c>
      <c r="F90" s="0" t="b">
        <v>0</v>
      </c>
      <c r="G90" s="0" t="s">
        <v>976</v>
      </c>
      <c r="H90" s="0" t="b">
        <v>0</v>
      </c>
      <c r="I90" s="0" t="s">
        <v>114</v>
      </c>
      <c r="J90" s="0">
        <v>12</v>
      </c>
      <c r="K90" s="0">
        <v>38</v>
      </c>
      <c r="L90" s="0">
        <v>219</v>
      </c>
      <c r="M90" s="1">
        <f>=HYPERLINK("10.175.1.14\MWEB.12\BT\EntityDetails.10.175.1.14.MWEB.12.-connect-api.219.xlsx", "&lt;Detail&gt;")</f>
      </c>
      <c r="N90" s="1">
        <f>=HYPERLINK("10.175.1.14\MWEB.12\BT\MetricGraphs.BT.10.175.1.14.MWEB.12.xlsx", "&lt;Metrics&gt;")</f>
      </c>
      <c r="O90" s="1">
        <f>=HYPERLINK("10.175.1.14\MWEB.12\BT\FlameGraph.BT.10.175.1.14.MWEB.12.-connect-api.219.svg", "&lt;FlGraph&gt;")</f>
      </c>
      <c r="P90" s="1">
        <f>=HYPERLINK("10.175.1.14\MWEB.12\BT\FlameChart.BT.10.175.1.14.MWEB.12.-connect-api.219.svg", "&lt;FlChart&gt;")</f>
      </c>
      <c r="Q90" s="0" t="s">
        <v>101</v>
      </c>
      <c r="R90" s="0" t="s">
        <v>145</v>
      </c>
      <c r="S90" s="0" t="s">
        <v>169</v>
      </c>
      <c r="T90" s="0" t="s">
        <v>1129</v>
      </c>
    </row>
    <row r="91">
      <c r="A91" s="0" t="s">
        <v>28</v>
      </c>
      <c r="B91" s="0" t="s">
        <v>30</v>
      </c>
      <c r="C91" s="0" t="s">
        <v>168</v>
      </c>
      <c r="D91" s="0" t="s">
        <v>984</v>
      </c>
      <c r="E91" s="0" t="s">
        <v>984</v>
      </c>
      <c r="F91" s="0" t="b">
        <v>0</v>
      </c>
      <c r="G91" s="0" t="s">
        <v>976</v>
      </c>
      <c r="H91" s="0" t="b">
        <v>0</v>
      </c>
      <c r="I91" s="0" t="s">
        <v>114</v>
      </c>
      <c r="J91" s="0">
        <v>12</v>
      </c>
      <c r="K91" s="0">
        <v>38</v>
      </c>
      <c r="L91" s="0">
        <v>208</v>
      </c>
      <c r="M91" s="1">
        <f>=HYPERLINK("10.175.1.14\MWEB.12\BT\EntityDetails.10.175.1.14.MWEB.12.-HealthMonit.208.xlsx", "&lt;Detail&gt;")</f>
      </c>
      <c r="N91" s="1">
        <f>=HYPERLINK("10.175.1.14\MWEB.12\BT\MetricGraphs.BT.10.175.1.14.MWEB.12.xlsx", "&lt;Metrics&gt;")</f>
      </c>
      <c r="O91" s="1">
        <f>=HYPERLINK("10.175.1.14\MWEB.12\BT\FlameGraph.BT.10.175.1.14.MWEB.12.-HealthMonit.208.svg", "&lt;FlGraph&gt;")</f>
      </c>
      <c r="P91" s="1">
        <f>=HYPERLINK("10.175.1.14\MWEB.12\BT\FlameChart.BT.10.175.1.14.MWEB.12.-HealthMonit.208.svg", "&lt;FlChart&gt;")</f>
      </c>
      <c r="Q91" s="0" t="s">
        <v>101</v>
      </c>
      <c r="R91" s="0" t="s">
        <v>145</v>
      </c>
      <c r="S91" s="0" t="s">
        <v>169</v>
      </c>
      <c r="T91" s="0" t="s">
        <v>1130</v>
      </c>
    </row>
    <row r="92">
      <c r="A92" s="0" t="s">
        <v>28</v>
      </c>
      <c r="B92" s="0" t="s">
        <v>30</v>
      </c>
      <c r="C92" s="0" t="s">
        <v>168</v>
      </c>
      <c r="D92" s="0" t="s">
        <v>1026</v>
      </c>
      <c r="E92" s="0" t="s">
        <v>1026</v>
      </c>
      <c r="F92" s="0" t="b">
        <v>0</v>
      </c>
      <c r="G92" s="0" t="s">
        <v>976</v>
      </c>
      <c r="H92" s="0" t="b">
        <v>0</v>
      </c>
      <c r="I92" s="0" t="s">
        <v>114</v>
      </c>
      <c r="J92" s="0">
        <v>12</v>
      </c>
      <c r="K92" s="0">
        <v>38</v>
      </c>
      <c r="L92" s="0">
        <v>196</v>
      </c>
      <c r="M92" s="1">
        <f>=HYPERLINK("10.175.1.14\MWEB.12\BT\EntityDetails.10.175.1.14.MWEB.12.-management-.196.xlsx", "&lt;Detail&gt;")</f>
      </c>
      <c r="N92" s="1">
        <f>=HYPERLINK("10.175.1.14\MWEB.12\BT\MetricGraphs.BT.10.175.1.14.MWEB.12.xlsx", "&lt;Metrics&gt;")</f>
      </c>
      <c r="O92" s="1">
        <f>=HYPERLINK("10.175.1.14\MWEB.12\BT\FlameGraph.BT.10.175.1.14.MWEB.12.-management-.196.svg", "&lt;FlGraph&gt;")</f>
      </c>
      <c r="P92" s="1">
        <f>=HYPERLINK("10.175.1.14\MWEB.12\BT\FlameChart.BT.10.175.1.14.MWEB.12.-management-.196.svg", "&lt;FlChart&gt;")</f>
      </c>
      <c r="Q92" s="0" t="s">
        <v>101</v>
      </c>
      <c r="R92" s="0" t="s">
        <v>145</v>
      </c>
      <c r="S92" s="0" t="s">
        <v>169</v>
      </c>
      <c r="T92" s="0" t="s">
        <v>1131</v>
      </c>
    </row>
    <row r="93">
      <c r="A93" s="0" t="s">
        <v>28</v>
      </c>
      <c r="B93" s="0" t="s">
        <v>30</v>
      </c>
      <c r="C93" s="0" t="s">
        <v>168</v>
      </c>
      <c r="D93" s="0" t="s">
        <v>1132</v>
      </c>
      <c r="E93" s="0" t="s">
        <v>1132</v>
      </c>
      <c r="F93" s="0" t="b">
        <v>0</v>
      </c>
      <c r="G93" s="0" t="s">
        <v>976</v>
      </c>
      <c r="H93" s="0" t="b">
        <v>0</v>
      </c>
      <c r="I93" s="0" t="s">
        <v>114</v>
      </c>
      <c r="J93" s="0">
        <v>12</v>
      </c>
      <c r="K93" s="0">
        <v>38</v>
      </c>
      <c r="L93" s="0">
        <v>205</v>
      </c>
      <c r="M93" s="1">
        <f>=HYPERLINK("10.175.1.14\MWEB.12\BT\EntityDetails.10.175.1.14.MWEB.12.-stub-dummy.205.xlsx", "&lt;Detail&gt;")</f>
      </c>
      <c r="N93" s="1">
        <f>=HYPERLINK("10.175.1.14\MWEB.12\BT\MetricGraphs.BT.10.175.1.14.MWEB.12.xlsx", "&lt;Metrics&gt;")</f>
      </c>
      <c r="O93" s="1">
        <f>=HYPERLINK("10.175.1.14\MWEB.12\BT\FlameGraph.BT.10.175.1.14.MWEB.12.-stub-dummy.205.svg", "&lt;FlGraph&gt;")</f>
      </c>
      <c r="P93" s="1">
        <f>=HYPERLINK("10.175.1.14\MWEB.12\BT\FlameChart.BT.10.175.1.14.MWEB.12.-stub-dummy.205.svg", "&lt;FlChart&gt;")</f>
      </c>
      <c r="Q93" s="0" t="s">
        <v>101</v>
      </c>
      <c r="R93" s="0" t="s">
        <v>145</v>
      </c>
      <c r="S93" s="0" t="s">
        <v>169</v>
      </c>
      <c r="T93" s="0" t="s">
        <v>1133</v>
      </c>
    </row>
    <row r="94">
      <c r="A94" s="0" t="s">
        <v>28</v>
      </c>
      <c r="B94" s="0" t="s">
        <v>30</v>
      </c>
      <c r="C94" s="0" t="s">
        <v>168</v>
      </c>
      <c r="D94" s="0" t="s">
        <v>1030</v>
      </c>
      <c r="E94" s="0" t="s">
        <v>1030</v>
      </c>
      <c r="F94" s="0" t="b">
        <v>0</v>
      </c>
      <c r="G94" s="0" t="s">
        <v>1031</v>
      </c>
      <c r="H94" s="0" t="b">
        <v>0</v>
      </c>
      <c r="I94" s="0" t="s">
        <v>114</v>
      </c>
      <c r="J94" s="0">
        <v>12</v>
      </c>
      <c r="K94" s="0">
        <v>38</v>
      </c>
      <c r="L94" s="0">
        <v>201</v>
      </c>
      <c r="M94" s="1">
        <f>=HYPERLINK("10.175.1.14\MWEB.12\BT\EntityDetails.10.175.1.14.MWEB.12._APPDYNAMICS.201.xlsx", "&lt;Detail&gt;")</f>
      </c>
      <c r="N94" s="1">
        <f>=HYPERLINK("10.175.1.14\MWEB.12\BT\MetricGraphs.BT.10.175.1.14.MWEB.12.xlsx", "&lt;Metrics&gt;")</f>
      </c>
      <c r="O94" s="1">
        <f>=HYPERLINK("10.175.1.14\MWEB.12\BT\FlameGraph.BT.10.175.1.14.MWEB.12._APPDYNAMICS.201.svg", "&lt;FlGraph&gt;")</f>
      </c>
      <c r="P94" s="1">
        <f>=HYPERLINK("10.175.1.14\MWEB.12\BT\FlameChart.BT.10.175.1.14.MWEB.12._APPDYNAMICS.201.svg", "&lt;FlChart&gt;")</f>
      </c>
      <c r="Q94" s="0" t="s">
        <v>101</v>
      </c>
      <c r="R94" s="0" t="s">
        <v>145</v>
      </c>
      <c r="S94" s="0" t="s">
        <v>169</v>
      </c>
      <c r="T94" s="0" t="s">
        <v>1134</v>
      </c>
    </row>
    <row r="95">
      <c r="A95" s="0" t="s">
        <v>28</v>
      </c>
      <c r="B95" s="0" t="s">
        <v>30</v>
      </c>
      <c r="C95" s="0" t="s">
        <v>168</v>
      </c>
      <c r="D95" s="0" t="s">
        <v>1122</v>
      </c>
      <c r="E95" s="0" t="s">
        <v>1122</v>
      </c>
      <c r="F95" s="0" t="b">
        <v>0</v>
      </c>
      <c r="G95" s="0" t="s">
        <v>976</v>
      </c>
      <c r="H95" s="0" t="b">
        <v>0</v>
      </c>
      <c r="I95" s="0" t="s">
        <v>114</v>
      </c>
      <c r="J95" s="0">
        <v>12</v>
      </c>
      <c r="K95" s="0">
        <v>38</v>
      </c>
      <c r="L95" s="0">
        <v>480</v>
      </c>
      <c r="M95" s="1">
        <f>=HYPERLINK("10.175.1.14\MWEB.12\BT\EntityDetails.10.175.1.14.MWEB.12.TougouWebLog.480.xlsx", "&lt;Detail&gt;")</f>
      </c>
      <c r="N95" s="1">
        <f>=HYPERLINK("10.175.1.14\MWEB.12\BT\MetricGraphs.BT.10.175.1.14.MWEB.12.xlsx", "&lt;Metrics&gt;")</f>
      </c>
      <c r="O95" s="1">
        <f>=HYPERLINK("10.175.1.14\MWEB.12\BT\FlameGraph.BT.10.175.1.14.MWEB.12.TougouWebLog.480.svg", "&lt;FlGraph&gt;")</f>
      </c>
      <c r="P95" s="1">
        <f>=HYPERLINK("10.175.1.14\MWEB.12\BT\FlameChart.BT.10.175.1.14.MWEB.12.TougouWebLog.480.svg", "&lt;FlChart&gt;")</f>
      </c>
      <c r="Q95" s="0" t="s">
        <v>101</v>
      </c>
      <c r="R95" s="0" t="s">
        <v>145</v>
      </c>
      <c r="S95" s="0" t="s">
        <v>169</v>
      </c>
      <c r="T95" s="0" t="s">
        <v>1135</v>
      </c>
    </row>
    <row r="96">
      <c r="A96" s="0" t="s">
        <v>28</v>
      </c>
      <c r="B96" s="0" t="s">
        <v>30</v>
      </c>
      <c r="C96" s="0" t="s">
        <v>170</v>
      </c>
      <c r="D96" s="0" t="s">
        <v>1136</v>
      </c>
      <c r="E96" s="0" t="s">
        <v>1136</v>
      </c>
      <c r="F96" s="0" t="b">
        <v>0</v>
      </c>
      <c r="G96" s="0" t="s">
        <v>1137</v>
      </c>
      <c r="H96" s="0" t="b">
        <v>0</v>
      </c>
      <c r="I96" s="0" t="s">
        <v>114</v>
      </c>
      <c r="J96" s="0">
        <v>12</v>
      </c>
      <c r="K96" s="0">
        <v>35</v>
      </c>
      <c r="L96" s="0">
        <v>336</v>
      </c>
      <c r="M96" s="1">
        <f>=HYPERLINK("10.175.1.14\MWEB.12\BT\EntityDetails.10.175.1.14.MWEB.12.-health_chec.336.xlsx", "&lt;Detail&gt;")</f>
      </c>
      <c r="N96" s="1">
        <f>=HYPERLINK("10.175.1.14\MWEB.12\BT\MetricGraphs.BT.10.175.1.14.MWEB.12.xlsx", "&lt;Metrics&gt;")</f>
      </c>
      <c r="O96" s="1">
        <f>=HYPERLINK("10.175.1.14\MWEB.12\BT\FlameGraph.BT.10.175.1.14.MWEB.12.-health_chec.336.svg", "&lt;FlGraph&gt;")</f>
      </c>
      <c r="P96" s="1">
        <f>=HYPERLINK("10.175.1.14\MWEB.12\BT\FlameChart.BT.10.175.1.14.MWEB.12.-health_chec.336.svg", "&lt;FlChart&gt;")</f>
      </c>
      <c r="Q96" s="0" t="s">
        <v>101</v>
      </c>
      <c r="R96" s="0" t="s">
        <v>145</v>
      </c>
      <c r="S96" s="0" t="s">
        <v>173</v>
      </c>
      <c r="T96" s="0" t="s">
        <v>1138</v>
      </c>
    </row>
    <row r="97">
      <c r="A97" s="0" t="s">
        <v>28</v>
      </c>
      <c r="B97" s="0" t="s">
        <v>30</v>
      </c>
      <c r="C97" s="0" t="s">
        <v>170</v>
      </c>
      <c r="D97" s="0" t="s">
        <v>1139</v>
      </c>
      <c r="E97" s="0" t="s">
        <v>1139</v>
      </c>
      <c r="F97" s="0" t="b">
        <v>0</v>
      </c>
      <c r="G97" s="0" t="s">
        <v>1137</v>
      </c>
      <c r="H97" s="0" t="b">
        <v>0</v>
      </c>
      <c r="I97" s="0" t="s">
        <v>114</v>
      </c>
      <c r="J97" s="0">
        <v>12</v>
      </c>
      <c r="K97" s="0">
        <v>35</v>
      </c>
      <c r="L97" s="0">
        <v>441</v>
      </c>
      <c r="M97" s="1">
        <f>=HYPERLINK("10.175.1.14\MWEB.12\BT\EntityDetails.10.175.1.14.MWEB.12.-index.html.441.xlsx", "&lt;Detail&gt;")</f>
      </c>
      <c r="N97" s="1">
        <f>=HYPERLINK("10.175.1.14\MWEB.12\BT\MetricGraphs.BT.10.175.1.14.MWEB.12.xlsx", "&lt;Metrics&gt;")</f>
      </c>
      <c r="O97" s="1">
        <f>=HYPERLINK("10.175.1.14\MWEB.12\BT\FlameGraph.BT.10.175.1.14.MWEB.12.-index.html.441.svg", "&lt;FlGraph&gt;")</f>
      </c>
      <c r="P97" s="1">
        <f>=HYPERLINK("10.175.1.14\MWEB.12\BT\FlameChart.BT.10.175.1.14.MWEB.12.-index.html.441.svg", "&lt;FlChart&gt;")</f>
      </c>
      <c r="Q97" s="0" t="s">
        <v>101</v>
      </c>
      <c r="R97" s="0" t="s">
        <v>145</v>
      </c>
      <c r="S97" s="0" t="s">
        <v>173</v>
      </c>
      <c r="T97" s="0" t="s">
        <v>1140</v>
      </c>
    </row>
    <row r="98">
      <c r="A98" s="0" t="s">
        <v>28</v>
      </c>
      <c r="B98" s="0" t="s">
        <v>30</v>
      </c>
      <c r="C98" s="0" t="s">
        <v>170</v>
      </c>
      <c r="D98" s="0" t="s">
        <v>1141</v>
      </c>
      <c r="E98" s="0" t="s">
        <v>1141</v>
      </c>
      <c r="F98" s="0" t="b">
        <v>0</v>
      </c>
      <c r="G98" s="0" t="s">
        <v>1137</v>
      </c>
      <c r="H98" s="0" t="b">
        <v>0</v>
      </c>
      <c r="I98" s="0" t="s">
        <v>114</v>
      </c>
      <c r="J98" s="0">
        <v>12</v>
      </c>
      <c r="K98" s="0">
        <v>35</v>
      </c>
      <c r="L98" s="0">
        <v>479</v>
      </c>
      <c r="M98" s="1">
        <f>=HYPERLINK("10.175.1.14\MWEB.12\BT\EntityDetails.10.175.1.14.MWEB.12.-index.php.479.xlsx", "&lt;Detail&gt;")</f>
      </c>
      <c r="N98" s="1">
        <f>=HYPERLINK("10.175.1.14\MWEB.12\BT\MetricGraphs.BT.10.175.1.14.MWEB.12.xlsx", "&lt;Metrics&gt;")</f>
      </c>
      <c r="O98" s="1">
        <f>=HYPERLINK("10.175.1.14\MWEB.12\BT\FlameGraph.BT.10.175.1.14.MWEB.12.-index.php.479.svg", "&lt;FlGraph&gt;")</f>
      </c>
      <c r="P98" s="1">
        <f>=HYPERLINK("10.175.1.14\MWEB.12\BT\FlameChart.BT.10.175.1.14.MWEB.12.-index.php.479.svg", "&lt;FlChart&gt;")</f>
      </c>
      <c r="Q98" s="0" t="s">
        <v>101</v>
      </c>
      <c r="R98" s="0" t="s">
        <v>145</v>
      </c>
      <c r="S98" s="0" t="s">
        <v>173</v>
      </c>
      <c r="T98" s="0" t="s">
        <v>1142</v>
      </c>
    </row>
    <row r="99">
      <c r="A99" s="0" t="s">
        <v>28</v>
      </c>
      <c r="B99" s="0" t="s">
        <v>30</v>
      </c>
      <c r="C99" s="0" t="s">
        <v>170</v>
      </c>
      <c r="D99" s="0" t="s">
        <v>1143</v>
      </c>
      <c r="E99" s="0" t="s">
        <v>1143</v>
      </c>
      <c r="F99" s="0" t="b">
        <v>0</v>
      </c>
      <c r="G99" s="0" t="s">
        <v>1137</v>
      </c>
      <c r="H99" s="0" t="b">
        <v>0</v>
      </c>
      <c r="I99" s="0" t="s">
        <v>114</v>
      </c>
      <c r="J99" s="0">
        <v>12</v>
      </c>
      <c r="K99" s="0">
        <v>35</v>
      </c>
      <c r="L99" s="0">
        <v>442</v>
      </c>
      <c r="M99" s="1">
        <f>=HYPERLINK("10.175.1.14\MWEB.12\BT\EntityDetails.10.175.1.14.MWEB.12.-login.html.442.xlsx", "&lt;Detail&gt;")</f>
      </c>
      <c r="N99" s="1">
        <f>=HYPERLINK("10.175.1.14\MWEB.12\BT\MetricGraphs.BT.10.175.1.14.MWEB.12.xlsx", "&lt;Metrics&gt;")</f>
      </c>
      <c r="O99" s="1">
        <f>=HYPERLINK("10.175.1.14\MWEB.12\BT\FlameGraph.BT.10.175.1.14.MWEB.12.-login.html.442.svg", "&lt;FlGraph&gt;")</f>
      </c>
      <c r="P99" s="1">
        <f>=HYPERLINK("10.175.1.14\MWEB.12\BT\FlameChart.BT.10.175.1.14.MWEB.12.-login.html.442.svg", "&lt;FlChart&gt;")</f>
      </c>
      <c r="Q99" s="0" t="s">
        <v>101</v>
      </c>
      <c r="R99" s="0" t="s">
        <v>145</v>
      </c>
      <c r="S99" s="0" t="s">
        <v>173</v>
      </c>
      <c r="T99" s="0" t="s">
        <v>1144</v>
      </c>
    </row>
    <row r="100">
      <c r="A100" s="0" t="s">
        <v>28</v>
      </c>
      <c r="B100" s="0" t="s">
        <v>30</v>
      </c>
      <c r="C100" s="0" t="s">
        <v>170</v>
      </c>
      <c r="D100" s="0" t="s">
        <v>1145</v>
      </c>
      <c r="E100" s="0" t="s">
        <v>1145</v>
      </c>
      <c r="F100" s="0" t="b">
        <v>0</v>
      </c>
      <c r="G100" s="0" t="s">
        <v>1137</v>
      </c>
      <c r="H100" s="0" t="b">
        <v>0</v>
      </c>
      <c r="I100" s="0" t="s">
        <v>114</v>
      </c>
      <c r="J100" s="0">
        <v>12</v>
      </c>
      <c r="K100" s="0">
        <v>35</v>
      </c>
      <c r="L100" s="0">
        <v>434</v>
      </c>
      <c r="M100" s="1">
        <f>=HYPERLINK("10.175.1.14\MWEB.12\BT\EntityDetails.10.175.1.14.MWEB.12.-newsplus.434.xlsx", "&lt;Detail&gt;")</f>
      </c>
      <c r="N100" s="1">
        <f>=HYPERLINK("10.175.1.14\MWEB.12\BT\MetricGraphs.BT.10.175.1.14.MWEB.12.xlsx", "&lt;Metrics&gt;")</f>
      </c>
      <c r="O100" s="1">
        <f>=HYPERLINK("10.175.1.14\MWEB.12\BT\FlameGraph.BT.10.175.1.14.MWEB.12.-newsplus.434.svg", "&lt;FlGraph&gt;")</f>
      </c>
      <c r="P100" s="1">
        <f>=HYPERLINK("10.175.1.14\MWEB.12\BT\FlameChart.BT.10.175.1.14.MWEB.12.-newsplus.434.svg", "&lt;FlChart&gt;")</f>
      </c>
      <c r="Q100" s="0" t="s">
        <v>101</v>
      </c>
      <c r="R100" s="0" t="s">
        <v>145</v>
      </c>
      <c r="S100" s="0" t="s">
        <v>173</v>
      </c>
      <c r="T100" s="0" t="s">
        <v>1146</v>
      </c>
    </row>
    <row r="101">
      <c r="A101" s="0" t="s">
        <v>28</v>
      </c>
      <c r="B101" s="0" t="s">
        <v>30</v>
      </c>
      <c r="C101" s="0" t="s">
        <v>170</v>
      </c>
      <c r="D101" s="0" t="s">
        <v>1147</v>
      </c>
      <c r="E101" s="0" t="s">
        <v>1147</v>
      </c>
      <c r="F101" s="0" t="b">
        <v>0</v>
      </c>
      <c r="G101" s="0" t="s">
        <v>1137</v>
      </c>
      <c r="H101" s="0" t="b">
        <v>0</v>
      </c>
      <c r="I101" s="0" t="s">
        <v>114</v>
      </c>
      <c r="J101" s="0">
        <v>12</v>
      </c>
      <c r="K101" s="0">
        <v>35</v>
      </c>
      <c r="L101" s="0">
        <v>92</v>
      </c>
      <c r="M101" s="1">
        <f>=HYPERLINK("10.175.1.14\MWEB.12\BT\EntityDetails.10.175.1.14.MWEB.12.-newsplus-.92.xlsx", "&lt;Detail&gt;")</f>
      </c>
      <c r="N101" s="1">
        <f>=HYPERLINK("10.175.1.14\MWEB.12\BT\MetricGraphs.BT.10.175.1.14.MWEB.12.xlsx", "&lt;Metrics&gt;")</f>
      </c>
      <c r="O101" s="1">
        <f>=HYPERLINK("10.175.1.14\MWEB.12\BT\FlameGraph.BT.10.175.1.14.MWEB.12.-newsplus-.92.svg", "&lt;FlGraph&gt;")</f>
      </c>
      <c r="P101" s="1">
        <f>=HYPERLINK("10.175.1.14\MWEB.12\BT\FlameChart.BT.10.175.1.14.MWEB.12.-newsplus-.92.svg", "&lt;FlChart&gt;")</f>
      </c>
      <c r="Q101" s="0" t="s">
        <v>101</v>
      </c>
      <c r="R101" s="0" t="s">
        <v>145</v>
      </c>
      <c r="S101" s="0" t="s">
        <v>173</v>
      </c>
      <c r="T101" s="0" t="s">
        <v>1148</v>
      </c>
    </row>
    <row r="102">
      <c r="A102" s="0" t="s">
        <v>28</v>
      </c>
      <c r="B102" s="0" t="s">
        <v>30</v>
      </c>
      <c r="C102" s="0" t="s">
        <v>170</v>
      </c>
      <c r="D102" s="0" t="s">
        <v>1149</v>
      </c>
      <c r="E102" s="0" t="s">
        <v>1149</v>
      </c>
      <c r="F102" s="0" t="b">
        <v>0</v>
      </c>
      <c r="G102" s="0" t="s">
        <v>1137</v>
      </c>
      <c r="H102" s="0" t="b">
        <v>0</v>
      </c>
      <c r="I102" s="0" t="s">
        <v>114</v>
      </c>
      <c r="J102" s="0">
        <v>12</v>
      </c>
      <c r="K102" s="0">
        <v>35</v>
      </c>
      <c r="L102" s="0">
        <v>253</v>
      </c>
      <c r="M102" s="1">
        <f>=HYPERLINK("10.175.1.14\MWEB.12\BT\EntityDetails.10.175.1.14.MWEB.12.-newsplus-ab.253.xlsx", "&lt;Detail&gt;")</f>
      </c>
      <c r="N102" s="1">
        <f>=HYPERLINK("10.175.1.14\MWEB.12\BT\MetricGraphs.BT.10.175.1.14.MWEB.12.xlsx", "&lt;Metrics&gt;")</f>
      </c>
      <c r="O102" s="1">
        <f>=HYPERLINK("10.175.1.14\MWEB.12\BT\FlameGraph.BT.10.175.1.14.MWEB.12.-newsplus-ab.253.svg", "&lt;FlGraph&gt;")</f>
      </c>
      <c r="P102" s="1">
        <f>=HYPERLINK("10.175.1.14\MWEB.12\BT\FlameChart.BT.10.175.1.14.MWEB.12.-newsplus-ab.253.svg", "&lt;FlChart&gt;")</f>
      </c>
      <c r="Q102" s="0" t="s">
        <v>101</v>
      </c>
      <c r="R102" s="0" t="s">
        <v>145</v>
      </c>
      <c r="S102" s="0" t="s">
        <v>173</v>
      </c>
      <c r="T102" s="0" t="s">
        <v>1150</v>
      </c>
    </row>
    <row r="103">
      <c r="A103" s="0" t="s">
        <v>28</v>
      </c>
      <c r="B103" s="0" t="s">
        <v>30</v>
      </c>
      <c r="C103" s="0" t="s">
        <v>170</v>
      </c>
      <c r="D103" s="0" t="s">
        <v>1151</v>
      </c>
      <c r="E103" s="0" t="s">
        <v>1151</v>
      </c>
      <c r="F103" s="0" t="b">
        <v>0</v>
      </c>
      <c r="G103" s="0" t="s">
        <v>1137</v>
      </c>
      <c r="H103" s="0" t="b">
        <v>0</v>
      </c>
      <c r="I103" s="0" t="s">
        <v>114</v>
      </c>
      <c r="J103" s="0">
        <v>12</v>
      </c>
      <c r="K103" s="0">
        <v>35</v>
      </c>
      <c r="L103" s="0">
        <v>247</v>
      </c>
      <c r="M103" s="1">
        <f>=HYPERLINK("10.175.1.14\MWEB.12\BT\EntityDetails.10.175.1.14.MWEB.12.-newsplus-al.247.xlsx", "&lt;Detail&gt;")</f>
      </c>
      <c r="N103" s="1">
        <f>=HYPERLINK("10.175.1.14\MWEB.12\BT\MetricGraphs.BT.10.175.1.14.MWEB.12.xlsx", "&lt;Metrics&gt;")</f>
      </c>
      <c r="O103" s="1">
        <f>=HYPERLINK("10.175.1.14\MWEB.12\BT\FlameGraph.BT.10.175.1.14.MWEB.12.-newsplus-al.247.svg", "&lt;FlGraph&gt;")</f>
      </c>
      <c r="P103" s="1">
        <f>=HYPERLINK("10.175.1.14\MWEB.12\BT\FlameChart.BT.10.175.1.14.MWEB.12.-newsplus-al.247.svg", "&lt;FlChart&gt;")</f>
      </c>
      <c r="Q103" s="0" t="s">
        <v>101</v>
      </c>
      <c r="R103" s="0" t="s">
        <v>145</v>
      </c>
      <c r="S103" s="0" t="s">
        <v>173</v>
      </c>
      <c r="T103" s="0" t="s">
        <v>1152</v>
      </c>
    </row>
    <row r="104">
      <c r="A104" s="0" t="s">
        <v>28</v>
      </c>
      <c r="B104" s="0" t="s">
        <v>30</v>
      </c>
      <c r="C104" s="0" t="s">
        <v>170</v>
      </c>
      <c r="D104" s="0" t="s">
        <v>1153</v>
      </c>
      <c r="E104" s="0" t="s">
        <v>1153</v>
      </c>
      <c r="F104" s="0" t="b">
        <v>0</v>
      </c>
      <c r="G104" s="0" t="s">
        <v>1137</v>
      </c>
      <c r="H104" s="0" t="b">
        <v>0</v>
      </c>
      <c r="I104" s="0" t="s">
        <v>114</v>
      </c>
      <c r="J104" s="0">
        <v>12</v>
      </c>
      <c r="K104" s="0">
        <v>35</v>
      </c>
      <c r="L104" s="0">
        <v>295</v>
      </c>
      <c r="M104" s="1">
        <f>=HYPERLINK("10.175.1.14\MWEB.12\BT\EntityDetails.10.175.1.14.MWEB.12.-newsplus-am.295.xlsx", "&lt;Detail&gt;")</f>
      </c>
      <c r="N104" s="1">
        <f>=HYPERLINK("10.175.1.14\MWEB.12\BT\MetricGraphs.BT.10.175.1.14.MWEB.12.xlsx", "&lt;Metrics&gt;")</f>
      </c>
      <c r="O104" s="1">
        <f>=HYPERLINK("10.175.1.14\MWEB.12\BT\FlameGraph.BT.10.175.1.14.MWEB.12.-newsplus-am.295.svg", "&lt;FlGraph&gt;")</f>
      </c>
      <c r="P104" s="1">
        <f>=HYPERLINK("10.175.1.14\MWEB.12\BT\FlameChart.BT.10.175.1.14.MWEB.12.-newsplus-am.295.svg", "&lt;FlChart&gt;")</f>
      </c>
      <c r="Q104" s="0" t="s">
        <v>101</v>
      </c>
      <c r="R104" s="0" t="s">
        <v>145</v>
      </c>
      <c r="S104" s="0" t="s">
        <v>173</v>
      </c>
      <c r="T104" s="0" t="s">
        <v>1154</v>
      </c>
    </row>
    <row r="105">
      <c r="A105" s="0" t="s">
        <v>28</v>
      </c>
      <c r="B105" s="0" t="s">
        <v>30</v>
      </c>
      <c r="C105" s="0" t="s">
        <v>170</v>
      </c>
      <c r="D105" s="0" t="s">
        <v>1155</v>
      </c>
      <c r="E105" s="0" t="s">
        <v>1155</v>
      </c>
      <c r="F105" s="0" t="b">
        <v>0</v>
      </c>
      <c r="G105" s="0" t="s">
        <v>1137</v>
      </c>
      <c r="H105" s="0" t="b">
        <v>0</v>
      </c>
      <c r="I105" s="0" t="s">
        <v>114</v>
      </c>
      <c r="J105" s="0">
        <v>12</v>
      </c>
      <c r="K105" s="0">
        <v>35</v>
      </c>
      <c r="L105" s="0">
        <v>264</v>
      </c>
      <c r="M105" s="1">
        <f>=HYPERLINK("10.175.1.14\MWEB.12\BT\EntityDetails.10.175.1.14.MWEB.12.-newsplus-br.264.xlsx", "&lt;Detail&gt;")</f>
      </c>
      <c r="N105" s="1">
        <f>=HYPERLINK("10.175.1.14\MWEB.12\BT\MetricGraphs.BT.10.175.1.14.MWEB.12.xlsx", "&lt;Metrics&gt;")</f>
      </c>
      <c r="O105" s="1">
        <f>=HYPERLINK("10.175.1.14\MWEB.12\BT\FlameGraph.BT.10.175.1.14.MWEB.12.-newsplus-br.264.svg", "&lt;FlGraph&gt;")</f>
      </c>
      <c r="P105" s="1">
        <f>=HYPERLINK("10.175.1.14\MWEB.12\BT\FlameChart.BT.10.175.1.14.MWEB.12.-newsplus-br.264.svg", "&lt;FlChart&gt;")</f>
      </c>
      <c r="Q105" s="0" t="s">
        <v>101</v>
      </c>
      <c r="R105" s="0" t="s">
        <v>145</v>
      </c>
      <c r="S105" s="0" t="s">
        <v>173</v>
      </c>
      <c r="T105" s="0" t="s">
        <v>1156</v>
      </c>
    </row>
    <row r="106">
      <c r="A106" s="0" t="s">
        <v>28</v>
      </c>
      <c r="B106" s="0" t="s">
        <v>30</v>
      </c>
      <c r="C106" s="0" t="s">
        <v>170</v>
      </c>
      <c r="D106" s="0" t="s">
        <v>1157</v>
      </c>
      <c r="E106" s="0" t="s">
        <v>1157</v>
      </c>
      <c r="F106" s="0" t="b">
        <v>0</v>
      </c>
      <c r="G106" s="0" t="s">
        <v>1137</v>
      </c>
      <c r="H106" s="0" t="b">
        <v>0</v>
      </c>
      <c r="I106" s="0" t="s">
        <v>114</v>
      </c>
      <c r="J106" s="0">
        <v>12</v>
      </c>
      <c r="K106" s="0">
        <v>35</v>
      </c>
      <c r="L106" s="0">
        <v>117</v>
      </c>
      <c r="M106" s="1">
        <f>=HYPERLINK("10.175.1.14\MWEB.12\BT\EntityDetails.10.175.1.14.MWEB.12.-newsplus-ca.117.xlsx", "&lt;Detail&gt;")</f>
      </c>
      <c r="N106" s="1">
        <f>=HYPERLINK("10.175.1.14\MWEB.12\BT\MetricGraphs.BT.10.175.1.14.MWEB.12.xlsx", "&lt;Metrics&gt;")</f>
      </c>
      <c r="O106" s="1">
        <f>=HYPERLINK("10.175.1.14\MWEB.12\BT\FlameGraph.BT.10.175.1.14.MWEB.12.-newsplus-ca.117.svg", "&lt;FlGraph&gt;")</f>
      </c>
      <c r="P106" s="1">
        <f>=HYPERLINK("10.175.1.14\MWEB.12\BT\FlameChart.BT.10.175.1.14.MWEB.12.-newsplus-ca.117.svg", "&lt;FlChart&gt;")</f>
      </c>
      <c r="Q106" s="0" t="s">
        <v>101</v>
      </c>
      <c r="R106" s="0" t="s">
        <v>145</v>
      </c>
      <c r="S106" s="0" t="s">
        <v>173</v>
      </c>
      <c r="T106" s="0" t="s">
        <v>1158</v>
      </c>
    </row>
    <row r="107">
      <c r="A107" s="0" t="s">
        <v>28</v>
      </c>
      <c r="B107" s="0" t="s">
        <v>30</v>
      </c>
      <c r="C107" s="0" t="s">
        <v>170</v>
      </c>
      <c r="D107" s="0" t="s">
        <v>1159</v>
      </c>
      <c r="E107" s="0" t="s">
        <v>1159</v>
      </c>
      <c r="F107" s="0" t="b">
        <v>0</v>
      </c>
      <c r="G107" s="0" t="s">
        <v>1137</v>
      </c>
      <c r="H107" s="0" t="b">
        <v>0</v>
      </c>
      <c r="I107" s="0" t="s">
        <v>114</v>
      </c>
      <c r="J107" s="0">
        <v>12</v>
      </c>
      <c r="K107" s="0">
        <v>35</v>
      </c>
      <c r="L107" s="0">
        <v>274</v>
      </c>
      <c r="M107" s="1">
        <f>=HYPERLINK("10.175.1.14\MWEB.12\BT\EntityDetails.10.175.1.14.MWEB.12.-newsplus-ca.274.xlsx", "&lt;Detail&gt;")</f>
      </c>
      <c r="N107" s="1">
        <f>=HYPERLINK("10.175.1.14\MWEB.12\BT\MetricGraphs.BT.10.175.1.14.MWEB.12.xlsx", "&lt;Metrics&gt;")</f>
      </c>
      <c r="O107" s="1">
        <f>=HYPERLINK("10.175.1.14\MWEB.12\BT\FlameGraph.BT.10.175.1.14.MWEB.12.-newsplus-ca.274.svg", "&lt;FlGraph&gt;")</f>
      </c>
      <c r="P107" s="1">
        <f>=HYPERLINK("10.175.1.14\MWEB.12\BT\FlameChart.BT.10.175.1.14.MWEB.12.-newsplus-ca.274.svg", "&lt;FlChart&gt;")</f>
      </c>
      <c r="Q107" s="0" t="s">
        <v>101</v>
      </c>
      <c r="R107" s="0" t="s">
        <v>145</v>
      </c>
      <c r="S107" s="0" t="s">
        <v>173</v>
      </c>
      <c r="T107" s="0" t="s">
        <v>1160</v>
      </c>
    </row>
    <row r="108">
      <c r="A108" s="0" t="s">
        <v>28</v>
      </c>
      <c r="B108" s="0" t="s">
        <v>30</v>
      </c>
      <c r="C108" s="0" t="s">
        <v>170</v>
      </c>
      <c r="D108" s="0" t="s">
        <v>1161</v>
      </c>
      <c r="E108" s="0" t="s">
        <v>1161</v>
      </c>
      <c r="F108" s="0" t="b">
        <v>0</v>
      </c>
      <c r="G108" s="0" t="s">
        <v>1137</v>
      </c>
      <c r="H108" s="0" t="b">
        <v>0</v>
      </c>
      <c r="I108" s="0" t="s">
        <v>114</v>
      </c>
      <c r="J108" s="0">
        <v>12</v>
      </c>
      <c r="K108" s="0">
        <v>35</v>
      </c>
      <c r="L108" s="0">
        <v>299</v>
      </c>
      <c r="M108" s="1">
        <f>=HYPERLINK("10.175.1.14\MWEB.12\BT\EntityDetails.10.175.1.14.MWEB.12.-newsplus-ca.299.xlsx", "&lt;Detail&gt;")</f>
      </c>
      <c r="N108" s="1">
        <f>=HYPERLINK("10.175.1.14\MWEB.12\BT\MetricGraphs.BT.10.175.1.14.MWEB.12.xlsx", "&lt;Metrics&gt;")</f>
      </c>
      <c r="O108" s="1">
        <f>=HYPERLINK("10.175.1.14\MWEB.12\BT\FlameGraph.BT.10.175.1.14.MWEB.12.-newsplus-ca.299.svg", "&lt;FlGraph&gt;")</f>
      </c>
      <c r="P108" s="1">
        <f>=HYPERLINK("10.175.1.14\MWEB.12\BT\FlameChart.BT.10.175.1.14.MWEB.12.-newsplus-ca.299.svg", "&lt;FlChart&gt;")</f>
      </c>
      <c r="Q108" s="0" t="s">
        <v>101</v>
      </c>
      <c r="R108" s="0" t="s">
        <v>145</v>
      </c>
      <c r="S108" s="0" t="s">
        <v>173</v>
      </c>
      <c r="T108" s="0" t="s">
        <v>1162</v>
      </c>
    </row>
    <row r="109">
      <c r="A109" s="0" t="s">
        <v>28</v>
      </c>
      <c r="B109" s="0" t="s">
        <v>30</v>
      </c>
      <c r="C109" s="0" t="s">
        <v>170</v>
      </c>
      <c r="D109" s="0" t="s">
        <v>1163</v>
      </c>
      <c r="E109" s="0" t="s">
        <v>1163</v>
      </c>
      <c r="F109" s="0" t="b">
        <v>0</v>
      </c>
      <c r="G109" s="0" t="s">
        <v>1137</v>
      </c>
      <c r="H109" s="0" t="b">
        <v>0</v>
      </c>
      <c r="I109" s="0" t="s">
        <v>114</v>
      </c>
      <c r="J109" s="0">
        <v>12</v>
      </c>
      <c r="K109" s="0">
        <v>35</v>
      </c>
      <c r="L109" s="0">
        <v>395</v>
      </c>
      <c r="M109" s="1">
        <f>=HYPERLINK("10.175.1.14\MWEB.12\BT\EntityDetails.10.175.1.14.MWEB.12.-newsplus-co.395.xlsx", "&lt;Detail&gt;")</f>
      </c>
      <c r="N109" s="1">
        <f>=HYPERLINK("10.175.1.14\MWEB.12\BT\MetricGraphs.BT.10.175.1.14.MWEB.12.xlsx", "&lt;Metrics&gt;")</f>
      </c>
      <c r="O109" s="1">
        <f>=HYPERLINK("10.175.1.14\MWEB.12\BT\FlameGraph.BT.10.175.1.14.MWEB.12.-newsplus-co.395.svg", "&lt;FlGraph&gt;")</f>
      </c>
      <c r="P109" s="1">
        <f>=HYPERLINK("10.175.1.14\MWEB.12\BT\FlameChart.BT.10.175.1.14.MWEB.12.-newsplus-co.395.svg", "&lt;FlChart&gt;")</f>
      </c>
      <c r="Q109" s="0" t="s">
        <v>101</v>
      </c>
      <c r="R109" s="0" t="s">
        <v>145</v>
      </c>
      <c r="S109" s="0" t="s">
        <v>173</v>
      </c>
      <c r="T109" s="0" t="s">
        <v>1164</v>
      </c>
    </row>
    <row r="110">
      <c r="A110" s="0" t="s">
        <v>28</v>
      </c>
      <c r="B110" s="0" t="s">
        <v>30</v>
      </c>
      <c r="C110" s="0" t="s">
        <v>170</v>
      </c>
      <c r="D110" s="0" t="s">
        <v>1165</v>
      </c>
      <c r="E110" s="0" t="s">
        <v>1165</v>
      </c>
      <c r="F110" s="0" t="b">
        <v>0</v>
      </c>
      <c r="G110" s="0" t="s">
        <v>1137</v>
      </c>
      <c r="H110" s="0" t="b">
        <v>0</v>
      </c>
      <c r="I110" s="0" t="s">
        <v>114</v>
      </c>
      <c r="J110" s="0">
        <v>12</v>
      </c>
      <c r="K110" s="0">
        <v>35</v>
      </c>
      <c r="L110" s="0">
        <v>262</v>
      </c>
      <c r="M110" s="1">
        <f>=HYPERLINK("10.175.1.14\MWEB.12\BT\EntityDetails.10.175.1.14.MWEB.12.-newsplus-co.262.xlsx", "&lt;Detail&gt;")</f>
      </c>
      <c r="N110" s="1">
        <f>=HYPERLINK("10.175.1.14\MWEB.12\BT\MetricGraphs.BT.10.175.1.14.MWEB.12.xlsx", "&lt;Metrics&gt;")</f>
      </c>
      <c r="O110" s="1">
        <f>=HYPERLINK("10.175.1.14\MWEB.12\BT\FlameGraph.BT.10.175.1.14.MWEB.12.-newsplus-co.262.svg", "&lt;FlGraph&gt;")</f>
      </c>
      <c r="P110" s="1">
        <f>=HYPERLINK("10.175.1.14\MWEB.12\BT\FlameChart.BT.10.175.1.14.MWEB.12.-newsplus-co.262.svg", "&lt;FlChart&gt;")</f>
      </c>
      <c r="Q110" s="0" t="s">
        <v>101</v>
      </c>
      <c r="R110" s="0" t="s">
        <v>145</v>
      </c>
      <c r="S110" s="0" t="s">
        <v>173</v>
      </c>
      <c r="T110" s="0" t="s">
        <v>1166</v>
      </c>
    </row>
    <row r="111">
      <c r="A111" s="0" t="s">
        <v>28</v>
      </c>
      <c r="B111" s="0" t="s">
        <v>30</v>
      </c>
      <c r="C111" s="0" t="s">
        <v>170</v>
      </c>
      <c r="D111" s="0" t="s">
        <v>1167</v>
      </c>
      <c r="E111" s="0" t="s">
        <v>1167</v>
      </c>
      <c r="F111" s="0" t="b">
        <v>0</v>
      </c>
      <c r="G111" s="0" t="s">
        <v>1137</v>
      </c>
      <c r="H111" s="0" t="b">
        <v>0</v>
      </c>
      <c r="I111" s="0" t="s">
        <v>114</v>
      </c>
      <c r="J111" s="0">
        <v>12</v>
      </c>
      <c r="K111" s="0">
        <v>35</v>
      </c>
      <c r="L111" s="0">
        <v>119</v>
      </c>
      <c r="M111" s="1">
        <f>=HYPERLINK("10.175.1.14\MWEB.12\BT\EntityDetails.10.175.1.14.MWEB.12.-newsplus-ec.119.xlsx", "&lt;Detail&gt;")</f>
      </c>
      <c r="N111" s="1">
        <f>=HYPERLINK("10.175.1.14\MWEB.12\BT\MetricGraphs.BT.10.175.1.14.MWEB.12.xlsx", "&lt;Metrics&gt;")</f>
      </c>
      <c r="O111" s="1">
        <f>=HYPERLINK("10.175.1.14\MWEB.12\BT\FlameGraph.BT.10.175.1.14.MWEB.12.-newsplus-ec.119.svg", "&lt;FlGraph&gt;")</f>
      </c>
      <c r="P111" s="1">
        <f>=HYPERLINK("10.175.1.14\MWEB.12\BT\FlameChart.BT.10.175.1.14.MWEB.12.-newsplus-ec.119.svg", "&lt;FlChart&gt;")</f>
      </c>
      <c r="Q111" s="0" t="s">
        <v>101</v>
      </c>
      <c r="R111" s="0" t="s">
        <v>145</v>
      </c>
      <c r="S111" s="0" t="s">
        <v>173</v>
      </c>
      <c r="T111" s="0" t="s">
        <v>1168</v>
      </c>
    </row>
    <row r="112">
      <c r="A112" s="0" t="s">
        <v>28</v>
      </c>
      <c r="B112" s="0" t="s">
        <v>30</v>
      </c>
      <c r="C112" s="0" t="s">
        <v>170</v>
      </c>
      <c r="D112" s="0" t="s">
        <v>1169</v>
      </c>
      <c r="E112" s="0" t="s">
        <v>1169</v>
      </c>
      <c r="F112" s="0" t="b">
        <v>0</v>
      </c>
      <c r="G112" s="0" t="s">
        <v>1137</v>
      </c>
      <c r="H112" s="0" t="b">
        <v>0</v>
      </c>
      <c r="I112" s="0" t="s">
        <v>114</v>
      </c>
      <c r="J112" s="0">
        <v>12</v>
      </c>
      <c r="K112" s="0">
        <v>35</v>
      </c>
      <c r="L112" s="0">
        <v>430</v>
      </c>
      <c r="M112" s="1">
        <f>=HYPERLINK("10.175.1.14\MWEB.12\BT\EntityDetails.10.175.1.14.MWEB.12.-newsplus-ec.430.xlsx", "&lt;Detail&gt;")</f>
      </c>
      <c r="N112" s="1">
        <f>=HYPERLINK("10.175.1.14\MWEB.12\BT\MetricGraphs.BT.10.175.1.14.MWEB.12.xlsx", "&lt;Metrics&gt;")</f>
      </c>
      <c r="O112" s="1">
        <f>=HYPERLINK("10.175.1.14\MWEB.12\BT\FlameGraph.BT.10.175.1.14.MWEB.12.-newsplus-ec.430.svg", "&lt;FlGraph&gt;")</f>
      </c>
      <c r="P112" s="1">
        <f>=HYPERLINK("10.175.1.14\MWEB.12\BT\FlameChart.BT.10.175.1.14.MWEB.12.-newsplus-ec.430.svg", "&lt;FlChart&gt;")</f>
      </c>
      <c r="Q112" s="0" t="s">
        <v>101</v>
      </c>
      <c r="R112" s="0" t="s">
        <v>145</v>
      </c>
      <c r="S112" s="0" t="s">
        <v>173</v>
      </c>
      <c r="T112" s="0" t="s">
        <v>1170</v>
      </c>
    </row>
    <row r="113">
      <c r="A113" s="0" t="s">
        <v>28</v>
      </c>
      <c r="B113" s="0" t="s">
        <v>30</v>
      </c>
      <c r="C113" s="0" t="s">
        <v>170</v>
      </c>
      <c r="D113" s="0" t="s">
        <v>1171</v>
      </c>
      <c r="E113" s="0" t="s">
        <v>1171</v>
      </c>
      <c r="F113" s="0" t="b">
        <v>0</v>
      </c>
      <c r="G113" s="0" t="s">
        <v>1137</v>
      </c>
      <c r="H113" s="0" t="b">
        <v>0</v>
      </c>
      <c r="I113" s="0" t="s">
        <v>114</v>
      </c>
      <c r="J113" s="0">
        <v>12</v>
      </c>
      <c r="K113" s="0">
        <v>35</v>
      </c>
      <c r="L113" s="0">
        <v>194</v>
      </c>
      <c r="M113" s="1">
        <f>=HYPERLINK("10.175.1.14\MWEB.12\BT\EntityDetails.10.175.1.14.MWEB.12.-newsplus-er.194.xlsx", "&lt;Detail&gt;")</f>
      </c>
      <c r="N113" s="1">
        <f>=HYPERLINK("10.175.1.14\MWEB.12\BT\MetricGraphs.BT.10.175.1.14.MWEB.12.xlsx", "&lt;Metrics&gt;")</f>
      </c>
      <c r="O113" s="1">
        <f>=HYPERLINK("10.175.1.14\MWEB.12\BT\FlameGraph.BT.10.175.1.14.MWEB.12.-newsplus-er.194.svg", "&lt;FlGraph&gt;")</f>
      </c>
      <c r="P113" s="1">
        <f>=HYPERLINK("10.175.1.14\MWEB.12\BT\FlameChart.BT.10.175.1.14.MWEB.12.-newsplus-er.194.svg", "&lt;FlChart&gt;")</f>
      </c>
      <c r="Q113" s="0" t="s">
        <v>101</v>
      </c>
      <c r="R113" s="0" t="s">
        <v>145</v>
      </c>
      <c r="S113" s="0" t="s">
        <v>173</v>
      </c>
      <c r="T113" s="0" t="s">
        <v>1172</v>
      </c>
    </row>
    <row r="114">
      <c r="A114" s="0" t="s">
        <v>28</v>
      </c>
      <c r="B114" s="0" t="s">
        <v>30</v>
      </c>
      <c r="C114" s="0" t="s">
        <v>170</v>
      </c>
      <c r="D114" s="0" t="s">
        <v>1173</v>
      </c>
      <c r="E114" s="0" t="s">
        <v>1173</v>
      </c>
      <c r="F114" s="0" t="b">
        <v>0</v>
      </c>
      <c r="G114" s="0" t="s">
        <v>1137</v>
      </c>
      <c r="H114" s="0" t="b">
        <v>0</v>
      </c>
      <c r="I114" s="0" t="s">
        <v>114</v>
      </c>
      <c r="J114" s="0">
        <v>12</v>
      </c>
      <c r="K114" s="0">
        <v>35</v>
      </c>
      <c r="L114" s="0">
        <v>272</v>
      </c>
      <c r="M114" s="1">
        <f>=HYPERLINK("10.175.1.14\MWEB.12\BT\EntityDetails.10.175.1.14.MWEB.12.-newsplus-er.272.xlsx", "&lt;Detail&gt;")</f>
      </c>
      <c r="N114" s="1">
        <f>=HYPERLINK("10.175.1.14\MWEB.12\BT\MetricGraphs.BT.10.175.1.14.MWEB.12.xlsx", "&lt;Metrics&gt;")</f>
      </c>
      <c r="O114" s="1">
        <f>=HYPERLINK("10.175.1.14\MWEB.12\BT\FlameGraph.BT.10.175.1.14.MWEB.12.-newsplus-er.272.svg", "&lt;FlGraph&gt;")</f>
      </c>
      <c r="P114" s="1">
        <f>=HYPERLINK("10.175.1.14\MWEB.12\BT\FlameChart.BT.10.175.1.14.MWEB.12.-newsplus-er.272.svg", "&lt;FlChart&gt;")</f>
      </c>
      <c r="Q114" s="0" t="s">
        <v>101</v>
      </c>
      <c r="R114" s="0" t="s">
        <v>145</v>
      </c>
      <c r="S114" s="0" t="s">
        <v>173</v>
      </c>
      <c r="T114" s="0" t="s">
        <v>1174</v>
      </c>
    </row>
    <row r="115">
      <c r="A115" s="0" t="s">
        <v>28</v>
      </c>
      <c r="B115" s="0" t="s">
        <v>30</v>
      </c>
      <c r="C115" s="0" t="s">
        <v>170</v>
      </c>
      <c r="D115" s="0" t="s">
        <v>1175</v>
      </c>
      <c r="E115" s="0" t="s">
        <v>1175</v>
      </c>
      <c r="F115" s="0" t="b">
        <v>0</v>
      </c>
      <c r="G115" s="0" t="s">
        <v>1137</v>
      </c>
      <c r="H115" s="0" t="b">
        <v>0</v>
      </c>
      <c r="I115" s="0" t="s">
        <v>114</v>
      </c>
      <c r="J115" s="0">
        <v>12</v>
      </c>
      <c r="K115" s="0">
        <v>35</v>
      </c>
      <c r="L115" s="0">
        <v>245</v>
      </c>
      <c r="M115" s="1">
        <f>=HYPERLINK("10.175.1.14\MWEB.12\BT\EntityDetails.10.175.1.14.MWEB.12.-newsplus-he.245.xlsx", "&lt;Detail&gt;")</f>
      </c>
      <c r="N115" s="1">
        <f>=HYPERLINK("10.175.1.14\MWEB.12\BT\MetricGraphs.BT.10.175.1.14.MWEB.12.xlsx", "&lt;Metrics&gt;")</f>
      </c>
      <c r="O115" s="1">
        <f>=HYPERLINK("10.175.1.14\MWEB.12\BT\FlameGraph.BT.10.175.1.14.MWEB.12.-newsplus-he.245.svg", "&lt;FlGraph&gt;")</f>
      </c>
      <c r="P115" s="1">
        <f>=HYPERLINK("10.175.1.14\MWEB.12\BT\FlameChart.BT.10.175.1.14.MWEB.12.-newsplus-he.245.svg", "&lt;FlChart&gt;")</f>
      </c>
      <c r="Q115" s="0" t="s">
        <v>101</v>
      </c>
      <c r="R115" s="0" t="s">
        <v>145</v>
      </c>
      <c r="S115" s="0" t="s">
        <v>173</v>
      </c>
      <c r="T115" s="0" t="s">
        <v>1176</v>
      </c>
    </row>
    <row r="116">
      <c r="A116" s="0" t="s">
        <v>28</v>
      </c>
      <c r="B116" s="0" t="s">
        <v>30</v>
      </c>
      <c r="C116" s="0" t="s">
        <v>170</v>
      </c>
      <c r="D116" s="0" t="s">
        <v>1177</v>
      </c>
      <c r="E116" s="0" t="s">
        <v>1177</v>
      </c>
      <c r="F116" s="0" t="b">
        <v>0</v>
      </c>
      <c r="G116" s="0" t="s">
        <v>1137</v>
      </c>
      <c r="H116" s="0" t="b">
        <v>0</v>
      </c>
      <c r="I116" s="0" t="s">
        <v>114</v>
      </c>
      <c r="J116" s="0">
        <v>12</v>
      </c>
      <c r="K116" s="0">
        <v>35</v>
      </c>
      <c r="L116" s="0">
        <v>408</v>
      </c>
      <c r="M116" s="1">
        <f>=HYPERLINK("10.175.1.14\MWEB.12\BT\EntityDetails.10.175.1.14.MWEB.12.-newsplus-im.408.xlsx", "&lt;Detail&gt;")</f>
      </c>
      <c r="N116" s="1">
        <f>=HYPERLINK("10.175.1.14\MWEB.12\BT\MetricGraphs.BT.10.175.1.14.MWEB.12.xlsx", "&lt;Metrics&gt;")</f>
      </c>
      <c r="O116" s="1">
        <f>=HYPERLINK("10.175.1.14\MWEB.12\BT\FlameGraph.BT.10.175.1.14.MWEB.12.-newsplus-im.408.svg", "&lt;FlGraph&gt;")</f>
      </c>
      <c r="P116" s="1">
        <f>=HYPERLINK("10.175.1.14\MWEB.12\BT\FlameChart.BT.10.175.1.14.MWEB.12.-newsplus-im.408.svg", "&lt;FlChart&gt;")</f>
      </c>
      <c r="Q116" s="0" t="s">
        <v>101</v>
      </c>
      <c r="R116" s="0" t="s">
        <v>145</v>
      </c>
      <c r="S116" s="0" t="s">
        <v>173</v>
      </c>
      <c r="T116" s="0" t="s">
        <v>1178</v>
      </c>
    </row>
    <row r="117">
      <c r="A117" s="0" t="s">
        <v>28</v>
      </c>
      <c r="B117" s="0" t="s">
        <v>30</v>
      </c>
      <c r="C117" s="0" t="s">
        <v>170</v>
      </c>
      <c r="D117" s="0" t="s">
        <v>1179</v>
      </c>
      <c r="E117" s="0" t="s">
        <v>1179</v>
      </c>
      <c r="F117" s="0" t="b">
        <v>0</v>
      </c>
      <c r="G117" s="0" t="s">
        <v>1137</v>
      </c>
      <c r="H117" s="0" t="b">
        <v>0</v>
      </c>
      <c r="I117" s="0" t="s">
        <v>114</v>
      </c>
      <c r="J117" s="0">
        <v>12</v>
      </c>
      <c r="K117" s="0">
        <v>35</v>
      </c>
      <c r="L117" s="0">
        <v>112</v>
      </c>
      <c r="M117" s="1">
        <f>=HYPERLINK("10.175.1.14\MWEB.12\BT\EntityDetails.10.175.1.14.MWEB.12.-newsplus-in.112.xlsx", "&lt;Detail&gt;")</f>
      </c>
      <c r="N117" s="1">
        <f>=HYPERLINK("10.175.1.14\MWEB.12\BT\MetricGraphs.BT.10.175.1.14.MWEB.12.xlsx", "&lt;Metrics&gt;")</f>
      </c>
      <c r="O117" s="1">
        <f>=HYPERLINK("10.175.1.14\MWEB.12\BT\FlameGraph.BT.10.175.1.14.MWEB.12.-newsplus-in.112.svg", "&lt;FlGraph&gt;")</f>
      </c>
      <c r="P117" s="1">
        <f>=HYPERLINK("10.175.1.14\MWEB.12\BT\FlameChart.BT.10.175.1.14.MWEB.12.-newsplus-in.112.svg", "&lt;FlChart&gt;")</f>
      </c>
      <c r="Q117" s="0" t="s">
        <v>101</v>
      </c>
      <c r="R117" s="0" t="s">
        <v>145</v>
      </c>
      <c r="S117" s="0" t="s">
        <v>173</v>
      </c>
      <c r="T117" s="0" t="s">
        <v>1180</v>
      </c>
    </row>
    <row r="118">
      <c r="A118" s="0" t="s">
        <v>28</v>
      </c>
      <c r="B118" s="0" t="s">
        <v>30</v>
      </c>
      <c r="C118" s="0" t="s">
        <v>170</v>
      </c>
      <c r="D118" s="0" t="s">
        <v>1181</v>
      </c>
      <c r="E118" s="0" t="s">
        <v>1181</v>
      </c>
      <c r="F118" s="0" t="b">
        <v>0</v>
      </c>
      <c r="G118" s="0" t="s">
        <v>1137</v>
      </c>
      <c r="H118" s="0" t="b">
        <v>0</v>
      </c>
      <c r="I118" s="0" t="s">
        <v>114</v>
      </c>
      <c r="J118" s="0">
        <v>12</v>
      </c>
      <c r="K118" s="0">
        <v>35</v>
      </c>
      <c r="L118" s="0">
        <v>271</v>
      </c>
      <c r="M118" s="1">
        <f>=HYPERLINK("10.175.1.14\MWEB.12\BT\EntityDetails.10.175.1.14.MWEB.12.-newsplus-jr.271.xlsx", "&lt;Detail&gt;")</f>
      </c>
      <c r="N118" s="1">
        <f>=HYPERLINK("10.175.1.14\MWEB.12\BT\MetricGraphs.BT.10.175.1.14.MWEB.12.xlsx", "&lt;Metrics&gt;")</f>
      </c>
      <c r="O118" s="1">
        <f>=HYPERLINK("10.175.1.14\MWEB.12\BT\FlameGraph.BT.10.175.1.14.MWEB.12.-newsplus-jr.271.svg", "&lt;FlGraph&gt;")</f>
      </c>
      <c r="P118" s="1">
        <f>=HYPERLINK("10.175.1.14\MWEB.12\BT\FlameChart.BT.10.175.1.14.MWEB.12.-newsplus-jr.271.svg", "&lt;FlChart&gt;")</f>
      </c>
      <c r="Q118" s="0" t="s">
        <v>101</v>
      </c>
      <c r="R118" s="0" t="s">
        <v>145</v>
      </c>
      <c r="S118" s="0" t="s">
        <v>173</v>
      </c>
      <c r="T118" s="0" t="s">
        <v>1182</v>
      </c>
    </row>
    <row r="119">
      <c r="A119" s="0" t="s">
        <v>28</v>
      </c>
      <c r="B119" s="0" t="s">
        <v>30</v>
      </c>
      <c r="C119" s="0" t="s">
        <v>170</v>
      </c>
      <c r="D119" s="0" t="s">
        <v>1183</v>
      </c>
      <c r="E119" s="0" t="s">
        <v>1183</v>
      </c>
      <c r="F119" s="0" t="b">
        <v>0</v>
      </c>
      <c r="G119" s="0" t="s">
        <v>1137</v>
      </c>
      <c r="H119" s="0" t="b">
        <v>0</v>
      </c>
      <c r="I119" s="0" t="s">
        <v>114</v>
      </c>
      <c r="J119" s="0">
        <v>12</v>
      </c>
      <c r="K119" s="0">
        <v>35</v>
      </c>
      <c r="L119" s="0">
        <v>246</v>
      </c>
      <c r="M119" s="1">
        <f>=HYPERLINK("10.175.1.14\MWEB.12\BT\EntityDetails.10.175.1.14.MWEB.12.-newsplus-jr.246.xlsx", "&lt;Detail&gt;")</f>
      </c>
      <c r="N119" s="1">
        <f>=HYPERLINK("10.175.1.14\MWEB.12\BT\MetricGraphs.BT.10.175.1.14.MWEB.12.xlsx", "&lt;Metrics&gt;")</f>
      </c>
      <c r="O119" s="1">
        <f>=HYPERLINK("10.175.1.14\MWEB.12\BT\FlameGraph.BT.10.175.1.14.MWEB.12.-newsplus-jr.246.svg", "&lt;FlGraph&gt;")</f>
      </c>
      <c r="P119" s="1">
        <f>=HYPERLINK("10.175.1.14\MWEB.12\BT\FlameChart.BT.10.175.1.14.MWEB.12.-newsplus-jr.246.svg", "&lt;FlChart&gt;")</f>
      </c>
      <c r="Q119" s="0" t="s">
        <v>101</v>
      </c>
      <c r="R119" s="0" t="s">
        <v>145</v>
      </c>
      <c r="S119" s="0" t="s">
        <v>173</v>
      </c>
      <c r="T119" s="0" t="s">
        <v>1184</v>
      </c>
    </row>
    <row r="120">
      <c r="A120" s="0" t="s">
        <v>28</v>
      </c>
      <c r="B120" s="0" t="s">
        <v>30</v>
      </c>
      <c r="C120" s="0" t="s">
        <v>170</v>
      </c>
      <c r="D120" s="0" t="s">
        <v>1185</v>
      </c>
      <c r="E120" s="0" t="s">
        <v>1185</v>
      </c>
      <c r="F120" s="0" t="b">
        <v>0</v>
      </c>
      <c r="G120" s="0" t="s">
        <v>1137</v>
      </c>
      <c r="H120" s="0" t="b">
        <v>0</v>
      </c>
      <c r="I120" s="0" t="s">
        <v>114</v>
      </c>
      <c r="J120" s="0">
        <v>12</v>
      </c>
      <c r="K120" s="0">
        <v>35</v>
      </c>
      <c r="L120" s="0">
        <v>122</v>
      </c>
      <c r="M120" s="1">
        <f>=HYPERLINK("10.175.1.14\MWEB.12\BT\EntityDetails.10.175.1.14.MWEB.12.-newsplus-le.122.xlsx", "&lt;Detail&gt;")</f>
      </c>
      <c r="N120" s="1">
        <f>=HYPERLINK("10.175.1.14\MWEB.12\BT\MetricGraphs.BT.10.175.1.14.MWEB.12.xlsx", "&lt;Metrics&gt;")</f>
      </c>
      <c r="O120" s="1">
        <f>=HYPERLINK("10.175.1.14\MWEB.12\BT\FlameGraph.BT.10.175.1.14.MWEB.12.-newsplus-le.122.svg", "&lt;FlGraph&gt;")</f>
      </c>
      <c r="P120" s="1">
        <f>=HYPERLINK("10.175.1.14\MWEB.12\BT\FlameChart.BT.10.175.1.14.MWEB.12.-newsplus-le.122.svg", "&lt;FlChart&gt;")</f>
      </c>
      <c r="Q120" s="0" t="s">
        <v>101</v>
      </c>
      <c r="R120" s="0" t="s">
        <v>145</v>
      </c>
      <c r="S120" s="0" t="s">
        <v>173</v>
      </c>
      <c r="T120" s="0" t="s">
        <v>1186</v>
      </c>
    </row>
    <row r="121">
      <c r="A121" s="0" t="s">
        <v>28</v>
      </c>
      <c r="B121" s="0" t="s">
        <v>30</v>
      </c>
      <c r="C121" s="0" t="s">
        <v>170</v>
      </c>
      <c r="D121" s="0" t="s">
        <v>1187</v>
      </c>
      <c r="E121" s="0" t="s">
        <v>1187</v>
      </c>
      <c r="F121" s="0" t="b">
        <v>0</v>
      </c>
      <c r="G121" s="0" t="s">
        <v>1137</v>
      </c>
      <c r="H121" s="0" t="b">
        <v>0</v>
      </c>
      <c r="I121" s="0" t="s">
        <v>114</v>
      </c>
      <c r="J121" s="0">
        <v>12</v>
      </c>
      <c r="K121" s="0">
        <v>35</v>
      </c>
      <c r="L121" s="0">
        <v>358</v>
      </c>
      <c r="M121" s="1">
        <f>=HYPERLINK("10.175.1.14\MWEB.12\BT\EntityDetails.10.175.1.14.MWEB.12.-newsplus-le.358.xlsx", "&lt;Detail&gt;")</f>
      </c>
      <c r="N121" s="1">
        <f>=HYPERLINK("10.175.1.14\MWEB.12\BT\MetricGraphs.BT.10.175.1.14.MWEB.12.xlsx", "&lt;Metrics&gt;")</f>
      </c>
      <c r="O121" s="1">
        <f>=HYPERLINK("10.175.1.14\MWEB.12\BT\FlameGraph.BT.10.175.1.14.MWEB.12.-newsplus-le.358.svg", "&lt;FlGraph&gt;")</f>
      </c>
      <c r="P121" s="1">
        <f>=HYPERLINK("10.175.1.14\MWEB.12\BT\FlameChart.BT.10.175.1.14.MWEB.12.-newsplus-le.358.svg", "&lt;FlChart&gt;")</f>
      </c>
      <c r="Q121" s="0" t="s">
        <v>101</v>
      </c>
      <c r="R121" s="0" t="s">
        <v>145</v>
      </c>
      <c r="S121" s="0" t="s">
        <v>173</v>
      </c>
      <c r="T121" s="0" t="s">
        <v>1188</v>
      </c>
    </row>
    <row r="122">
      <c r="A122" s="0" t="s">
        <v>28</v>
      </c>
      <c r="B122" s="0" t="s">
        <v>30</v>
      </c>
      <c r="C122" s="0" t="s">
        <v>170</v>
      </c>
      <c r="D122" s="0" t="s">
        <v>1189</v>
      </c>
      <c r="E122" s="0" t="s">
        <v>1189</v>
      </c>
      <c r="F122" s="0" t="b">
        <v>0</v>
      </c>
      <c r="G122" s="0" t="s">
        <v>1137</v>
      </c>
      <c r="H122" s="0" t="b">
        <v>0</v>
      </c>
      <c r="I122" s="0" t="s">
        <v>114</v>
      </c>
      <c r="J122" s="0">
        <v>12</v>
      </c>
      <c r="K122" s="0">
        <v>35</v>
      </c>
      <c r="L122" s="0">
        <v>192</v>
      </c>
      <c r="M122" s="1">
        <f>=HYPERLINK("10.175.1.14\MWEB.12\BT\EntityDetails.10.175.1.14.MWEB.12.-newsplus-li.192.xlsx", "&lt;Detail&gt;")</f>
      </c>
      <c r="N122" s="1">
        <f>=HYPERLINK("10.175.1.14\MWEB.12\BT\MetricGraphs.BT.10.175.1.14.MWEB.12.xlsx", "&lt;Metrics&gt;")</f>
      </c>
      <c r="O122" s="1">
        <f>=HYPERLINK("10.175.1.14\MWEB.12\BT\FlameGraph.BT.10.175.1.14.MWEB.12.-newsplus-li.192.svg", "&lt;FlGraph&gt;")</f>
      </c>
      <c r="P122" s="1">
        <f>=HYPERLINK("10.175.1.14\MWEB.12\BT\FlameChart.BT.10.175.1.14.MWEB.12.-newsplus-li.192.svg", "&lt;FlChart&gt;")</f>
      </c>
      <c r="Q122" s="0" t="s">
        <v>101</v>
      </c>
      <c r="R122" s="0" t="s">
        <v>145</v>
      </c>
      <c r="S122" s="0" t="s">
        <v>173</v>
      </c>
      <c r="T122" s="0" t="s">
        <v>1190</v>
      </c>
    </row>
    <row r="123">
      <c r="A123" s="0" t="s">
        <v>28</v>
      </c>
      <c r="B123" s="0" t="s">
        <v>30</v>
      </c>
      <c r="C123" s="0" t="s">
        <v>170</v>
      </c>
      <c r="D123" s="0" t="s">
        <v>1191</v>
      </c>
      <c r="E123" s="0" t="s">
        <v>1191</v>
      </c>
      <c r="F123" s="0" t="b">
        <v>0</v>
      </c>
      <c r="G123" s="0" t="s">
        <v>1137</v>
      </c>
      <c r="H123" s="0" t="b">
        <v>0</v>
      </c>
      <c r="I123" s="0" t="s">
        <v>114</v>
      </c>
      <c r="J123" s="0">
        <v>12</v>
      </c>
      <c r="K123" s="0">
        <v>35</v>
      </c>
      <c r="L123" s="0">
        <v>301</v>
      </c>
      <c r="M123" s="1">
        <f>=HYPERLINK("10.175.1.14\MWEB.12\BT\EntityDetails.10.175.1.14.MWEB.12.-newsplus-lo.301.xlsx", "&lt;Detail&gt;")</f>
      </c>
      <c r="N123" s="1">
        <f>=HYPERLINK("10.175.1.14\MWEB.12\BT\MetricGraphs.BT.10.175.1.14.MWEB.12.xlsx", "&lt;Metrics&gt;")</f>
      </c>
      <c r="O123" s="1">
        <f>=HYPERLINK("10.175.1.14\MWEB.12\BT\FlameGraph.BT.10.175.1.14.MWEB.12.-newsplus-lo.301.svg", "&lt;FlGraph&gt;")</f>
      </c>
      <c r="P123" s="1">
        <f>=HYPERLINK("10.175.1.14\MWEB.12\BT\FlameChart.BT.10.175.1.14.MWEB.12.-newsplus-lo.301.svg", "&lt;FlChart&gt;")</f>
      </c>
      <c r="Q123" s="0" t="s">
        <v>101</v>
      </c>
      <c r="R123" s="0" t="s">
        <v>145</v>
      </c>
      <c r="S123" s="0" t="s">
        <v>173</v>
      </c>
      <c r="T123" s="0" t="s">
        <v>1192</v>
      </c>
    </row>
    <row r="124">
      <c r="A124" s="0" t="s">
        <v>28</v>
      </c>
      <c r="B124" s="0" t="s">
        <v>30</v>
      </c>
      <c r="C124" s="0" t="s">
        <v>170</v>
      </c>
      <c r="D124" s="0" t="s">
        <v>1193</v>
      </c>
      <c r="E124" s="0" t="s">
        <v>1193</v>
      </c>
      <c r="F124" s="0" t="b">
        <v>0</v>
      </c>
      <c r="G124" s="0" t="s">
        <v>1137</v>
      </c>
      <c r="H124" s="0" t="b">
        <v>0</v>
      </c>
      <c r="I124" s="0" t="s">
        <v>114</v>
      </c>
      <c r="J124" s="0">
        <v>12</v>
      </c>
      <c r="K124" s="0">
        <v>35</v>
      </c>
      <c r="L124" s="0">
        <v>179</v>
      </c>
      <c r="M124" s="1">
        <f>=HYPERLINK("10.175.1.14\MWEB.12\BT\EntityDetails.10.175.1.14.MWEB.12.-newsplus-lo.179.xlsx", "&lt;Detail&gt;")</f>
      </c>
      <c r="N124" s="1">
        <f>=HYPERLINK("10.175.1.14\MWEB.12\BT\MetricGraphs.BT.10.175.1.14.MWEB.12.xlsx", "&lt;Metrics&gt;")</f>
      </c>
      <c r="O124" s="1">
        <f>=HYPERLINK("10.175.1.14\MWEB.12\BT\FlameGraph.BT.10.175.1.14.MWEB.12.-newsplus-lo.179.svg", "&lt;FlGraph&gt;")</f>
      </c>
      <c r="P124" s="1">
        <f>=HYPERLINK("10.175.1.14\MWEB.12\BT\FlameChart.BT.10.175.1.14.MWEB.12.-newsplus-lo.179.svg", "&lt;FlChart&gt;")</f>
      </c>
      <c r="Q124" s="0" t="s">
        <v>101</v>
      </c>
      <c r="R124" s="0" t="s">
        <v>145</v>
      </c>
      <c r="S124" s="0" t="s">
        <v>173</v>
      </c>
      <c r="T124" s="0" t="s">
        <v>1194</v>
      </c>
    </row>
    <row r="125">
      <c r="A125" s="0" t="s">
        <v>28</v>
      </c>
      <c r="B125" s="0" t="s">
        <v>30</v>
      </c>
      <c r="C125" s="0" t="s">
        <v>170</v>
      </c>
      <c r="D125" s="0" t="s">
        <v>1195</v>
      </c>
      <c r="E125" s="0" t="s">
        <v>1195</v>
      </c>
      <c r="F125" s="0" t="b">
        <v>0</v>
      </c>
      <c r="G125" s="0" t="s">
        <v>1137</v>
      </c>
      <c r="H125" s="0" t="b">
        <v>0</v>
      </c>
      <c r="I125" s="0" t="s">
        <v>114</v>
      </c>
      <c r="J125" s="0">
        <v>12</v>
      </c>
      <c r="K125" s="0">
        <v>35</v>
      </c>
      <c r="L125" s="0">
        <v>258</v>
      </c>
      <c r="M125" s="1">
        <f>=HYPERLINK("10.175.1.14\MWEB.12\BT\EntityDetails.10.175.1.14.MWEB.12.-newsplus-lo.258.xlsx", "&lt;Detail&gt;")</f>
      </c>
      <c r="N125" s="1">
        <f>=HYPERLINK("10.175.1.14\MWEB.12\BT\MetricGraphs.BT.10.175.1.14.MWEB.12.xlsx", "&lt;Metrics&gt;")</f>
      </c>
      <c r="O125" s="1">
        <f>=HYPERLINK("10.175.1.14\MWEB.12\BT\FlameGraph.BT.10.175.1.14.MWEB.12.-newsplus-lo.258.svg", "&lt;FlGraph&gt;")</f>
      </c>
      <c r="P125" s="1">
        <f>=HYPERLINK("10.175.1.14\MWEB.12\BT\FlameChart.BT.10.175.1.14.MWEB.12.-newsplus-lo.258.svg", "&lt;FlChart&gt;")</f>
      </c>
      <c r="Q125" s="0" t="s">
        <v>101</v>
      </c>
      <c r="R125" s="0" t="s">
        <v>145</v>
      </c>
      <c r="S125" s="0" t="s">
        <v>173</v>
      </c>
      <c r="T125" s="0" t="s">
        <v>1196</v>
      </c>
    </row>
    <row r="126">
      <c r="A126" s="0" t="s">
        <v>28</v>
      </c>
      <c r="B126" s="0" t="s">
        <v>30</v>
      </c>
      <c r="C126" s="0" t="s">
        <v>170</v>
      </c>
      <c r="D126" s="0" t="s">
        <v>1197</v>
      </c>
      <c r="E126" s="0" t="s">
        <v>1197</v>
      </c>
      <c r="F126" s="0" t="b">
        <v>0</v>
      </c>
      <c r="G126" s="0" t="s">
        <v>1137</v>
      </c>
      <c r="H126" s="0" t="b">
        <v>0</v>
      </c>
      <c r="I126" s="0" t="s">
        <v>114</v>
      </c>
      <c r="J126" s="0">
        <v>12</v>
      </c>
      <c r="K126" s="0">
        <v>35</v>
      </c>
      <c r="L126" s="0">
        <v>397</v>
      </c>
      <c r="M126" s="1">
        <f>=HYPERLINK("10.175.1.14\MWEB.12\BT\EntityDetails.10.175.1.14.MWEB.12.-newsplus-my.397.xlsx", "&lt;Detail&gt;")</f>
      </c>
      <c r="N126" s="1">
        <f>=HYPERLINK("10.175.1.14\MWEB.12\BT\MetricGraphs.BT.10.175.1.14.MWEB.12.xlsx", "&lt;Metrics&gt;")</f>
      </c>
      <c r="O126" s="1">
        <f>=HYPERLINK("10.175.1.14\MWEB.12\BT\FlameGraph.BT.10.175.1.14.MWEB.12.-newsplus-my.397.svg", "&lt;FlGraph&gt;")</f>
      </c>
      <c r="P126" s="1">
        <f>=HYPERLINK("10.175.1.14\MWEB.12\BT\FlameChart.BT.10.175.1.14.MWEB.12.-newsplus-my.397.svg", "&lt;FlChart&gt;")</f>
      </c>
      <c r="Q126" s="0" t="s">
        <v>101</v>
      </c>
      <c r="R126" s="0" t="s">
        <v>145</v>
      </c>
      <c r="S126" s="0" t="s">
        <v>173</v>
      </c>
      <c r="T126" s="0" t="s">
        <v>1198</v>
      </c>
    </row>
    <row r="127">
      <c r="A127" s="0" t="s">
        <v>28</v>
      </c>
      <c r="B127" s="0" t="s">
        <v>30</v>
      </c>
      <c r="C127" s="0" t="s">
        <v>170</v>
      </c>
      <c r="D127" s="0" t="s">
        <v>1199</v>
      </c>
      <c r="E127" s="0" t="s">
        <v>1199</v>
      </c>
      <c r="F127" s="0" t="b">
        <v>0</v>
      </c>
      <c r="G127" s="0" t="s">
        <v>1137</v>
      </c>
      <c r="H127" s="0" t="b">
        <v>0</v>
      </c>
      <c r="I127" s="0" t="s">
        <v>114</v>
      </c>
      <c r="J127" s="0">
        <v>12</v>
      </c>
      <c r="K127" s="0">
        <v>35</v>
      </c>
      <c r="L127" s="0">
        <v>325</v>
      </c>
      <c r="M127" s="1">
        <f>=HYPERLINK("10.175.1.14\MWEB.12\BT\EntityDetails.10.175.1.14.MWEB.12.-newsplus-pa.325.xlsx", "&lt;Detail&gt;")</f>
      </c>
      <c r="N127" s="1">
        <f>=HYPERLINK("10.175.1.14\MWEB.12\BT\MetricGraphs.BT.10.175.1.14.MWEB.12.xlsx", "&lt;Metrics&gt;")</f>
      </c>
      <c r="O127" s="1">
        <f>=HYPERLINK("10.175.1.14\MWEB.12\BT\FlameGraph.BT.10.175.1.14.MWEB.12.-newsplus-pa.325.svg", "&lt;FlGraph&gt;")</f>
      </c>
      <c r="P127" s="1">
        <f>=HYPERLINK("10.175.1.14\MWEB.12\BT\FlameChart.BT.10.175.1.14.MWEB.12.-newsplus-pa.325.svg", "&lt;FlChart&gt;")</f>
      </c>
      <c r="Q127" s="0" t="s">
        <v>101</v>
      </c>
      <c r="R127" s="0" t="s">
        <v>145</v>
      </c>
      <c r="S127" s="0" t="s">
        <v>173</v>
      </c>
      <c r="T127" s="0" t="s">
        <v>1200</v>
      </c>
    </row>
    <row r="128">
      <c r="A128" s="0" t="s">
        <v>28</v>
      </c>
      <c r="B128" s="0" t="s">
        <v>30</v>
      </c>
      <c r="C128" s="0" t="s">
        <v>170</v>
      </c>
      <c r="D128" s="0" t="s">
        <v>1201</v>
      </c>
      <c r="E128" s="0" t="s">
        <v>1201</v>
      </c>
      <c r="F128" s="0" t="b">
        <v>0</v>
      </c>
      <c r="G128" s="0" t="s">
        <v>1137</v>
      </c>
      <c r="H128" s="0" t="b">
        <v>0</v>
      </c>
      <c r="I128" s="0" t="s">
        <v>114</v>
      </c>
      <c r="J128" s="0">
        <v>12</v>
      </c>
      <c r="K128" s="0">
        <v>35</v>
      </c>
      <c r="L128" s="0">
        <v>380</v>
      </c>
      <c r="M128" s="1">
        <f>=HYPERLINK("10.175.1.14\MWEB.12\BT\EntityDetails.10.175.1.14.MWEB.12.-newsplus-po.380.xlsx", "&lt;Detail&gt;")</f>
      </c>
      <c r="N128" s="1">
        <f>=HYPERLINK("10.175.1.14\MWEB.12\BT\MetricGraphs.BT.10.175.1.14.MWEB.12.xlsx", "&lt;Metrics&gt;")</f>
      </c>
      <c r="O128" s="1">
        <f>=HYPERLINK("10.175.1.14\MWEB.12\BT\FlameGraph.BT.10.175.1.14.MWEB.12.-newsplus-po.380.svg", "&lt;FlGraph&gt;")</f>
      </c>
      <c r="P128" s="1">
        <f>=HYPERLINK("10.175.1.14\MWEB.12\BT\FlameChart.BT.10.175.1.14.MWEB.12.-newsplus-po.380.svg", "&lt;FlChart&gt;")</f>
      </c>
      <c r="Q128" s="0" t="s">
        <v>101</v>
      </c>
      <c r="R128" s="0" t="s">
        <v>145</v>
      </c>
      <c r="S128" s="0" t="s">
        <v>173</v>
      </c>
      <c r="T128" s="0" t="s">
        <v>1202</v>
      </c>
    </row>
    <row r="129">
      <c r="A129" s="0" t="s">
        <v>28</v>
      </c>
      <c r="B129" s="0" t="s">
        <v>30</v>
      </c>
      <c r="C129" s="0" t="s">
        <v>170</v>
      </c>
      <c r="D129" s="0" t="s">
        <v>1203</v>
      </c>
      <c r="E129" s="0" t="s">
        <v>1203</v>
      </c>
      <c r="F129" s="0" t="b">
        <v>0</v>
      </c>
      <c r="G129" s="0" t="s">
        <v>1137</v>
      </c>
      <c r="H129" s="0" t="b">
        <v>0</v>
      </c>
      <c r="I129" s="0" t="s">
        <v>114</v>
      </c>
      <c r="J129" s="0">
        <v>12</v>
      </c>
      <c r="K129" s="0">
        <v>35</v>
      </c>
      <c r="L129" s="0">
        <v>289</v>
      </c>
      <c r="M129" s="1">
        <f>=HYPERLINK("10.175.1.14\MWEB.12\BT\EntityDetails.10.175.1.14.MWEB.12.-newsplus-re.289.xlsx", "&lt;Detail&gt;")</f>
      </c>
      <c r="N129" s="1">
        <f>=HYPERLINK("10.175.1.14\MWEB.12\BT\MetricGraphs.BT.10.175.1.14.MWEB.12.xlsx", "&lt;Metrics&gt;")</f>
      </c>
      <c r="O129" s="1">
        <f>=HYPERLINK("10.175.1.14\MWEB.12\BT\FlameGraph.BT.10.175.1.14.MWEB.12.-newsplus-re.289.svg", "&lt;FlGraph&gt;")</f>
      </c>
      <c r="P129" s="1">
        <f>=HYPERLINK("10.175.1.14\MWEB.12\BT\FlameChart.BT.10.175.1.14.MWEB.12.-newsplus-re.289.svg", "&lt;FlChart&gt;")</f>
      </c>
      <c r="Q129" s="0" t="s">
        <v>101</v>
      </c>
      <c r="R129" s="0" t="s">
        <v>145</v>
      </c>
      <c r="S129" s="0" t="s">
        <v>173</v>
      </c>
      <c r="T129" s="0" t="s">
        <v>1204</v>
      </c>
    </row>
    <row r="130">
      <c r="A130" s="0" t="s">
        <v>28</v>
      </c>
      <c r="B130" s="0" t="s">
        <v>30</v>
      </c>
      <c r="C130" s="0" t="s">
        <v>170</v>
      </c>
      <c r="D130" s="0" t="s">
        <v>1205</v>
      </c>
      <c r="E130" s="0" t="s">
        <v>1205</v>
      </c>
      <c r="F130" s="0" t="b">
        <v>0</v>
      </c>
      <c r="G130" s="0" t="s">
        <v>1137</v>
      </c>
      <c r="H130" s="0" t="b">
        <v>0</v>
      </c>
      <c r="I130" s="0" t="s">
        <v>114</v>
      </c>
      <c r="J130" s="0">
        <v>12</v>
      </c>
      <c r="K130" s="0">
        <v>35</v>
      </c>
      <c r="L130" s="0">
        <v>181</v>
      </c>
      <c r="M130" s="1">
        <f>=HYPERLINK("10.175.1.14\MWEB.12\BT\EntityDetails.10.175.1.14.MWEB.12.-newsplus-re.181.xlsx", "&lt;Detail&gt;")</f>
      </c>
      <c r="N130" s="1">
        <f>=HYPERLINK("10.175.1.14\MWEB.12\BT\MetricGraphs.BT.10.175.1.14.MWEB.12.xlsx", "&lt;Metrics&gt;")</f>
      </c>
      <c r="O130" s="1">
        <f>=HYPERLINK("10.175.1.14\MWEB.12\BT\FlameGraph.BT.10.175.1.14.MWEB.12.-newsplus-re.181.svg", "&lt;FlGraph&gt;")</f>
      </c>
      <c r="P130" s="1">
        <f>=HYPERLINK("10.175.1.14\MWEB.12\BT\FlameChart.BT.10.175.1.14.MWEB.12.-newsplus-re.181.svg", "&lt;FlChart&gt;")</f>
      </c>
      <c r="Q130" s="0" t="s">
        <v>101</v>
      </c>
      <c r="R130" s="0" t="s">
        <v>145</v>
      </c>
      <c r="S130" s="0" t="s">
        <v>173</v>
      </c>
      <c r="T130" s="0" t="s">
        <v>1206</v>
      </c>
    </row>
    <row r="131">
      <c r="A131" s="0" t="s">
        <v>28</v>
      </c>
      <c r="B131" s="0" t="s">
        <v>30</v>
      </c>
      <c r="C131" s="0" t="s">
        <v>170</v>
      </c>
      <c r="D131" s="0" t="s">
        <v>1207</v>
      </c>
      <c r="E131" s="0" t="s">
        <v>1207</v>
      </c>
      <c r="F131" s="0" t="b">
        <v>0</v>
      </c>
      <c r="G131" s="0" t="s">
        <v>1137</v>
      </c>
      <c r="H131" s="0" t="b">
        <v>0</v>
      </c>
      <c r="I131" s="0" t="s">
        <v>114</v>
      </c>
      <c r="J131" s="0">
        <v>12</v>
      </c>
      <c r="K131" s="0">
        <v>35</v>
      </c>
      <c r="L131" s="0">
        <v>280</v>
      </c>
      <c r="M131" s="1">
        <f>=HYPERLINK("10.175.1.14\MWEB.12\BT\EntityDetails.10.175.1.14.MWEB.12.-newsplus-re.280.xlsx", "&lt;Detail&gt;")</f>
      </c>
      <c r="N131" s="1">
        <f>=HYPERLINK("10.175.1.14\MWEB.12\BT\MetricGraphs.BT.10.175.1.14.MWEB.12.xlsx", "&lt;Metrics&gt;")</f>
      </c>
      <c r="O131" s="1">
        <f>=HYPERLINK("10.175.1.14\MWEB.12\BT\FlameGraph.BT.10.175.1.14.MWEB.12.-newsplus-re.280.svg", "&lt;FlGraph&gt;")</f>
      </c>
      <c r="P131" s="1">
        <f>=HYPERLINK("10.175.1.14\MWEB.12\BT\FlameChart.BT.10.175.1.14.MWEB.12.-newsplus-re.280.svg", "&lt;FlChart&gt;")</f>
      </c>
      <c r="Q131" s="0" t="s">
        <v>101</v>
      </c>
      <c r="R131" s="0" t="s">
        <v>145</v>
      </c>
      <c r="S131" s="0" t="s">
        <v>173</v>
      </c>
      <c r="T131" s="0" t="s">
        <v>1208</v>
      </c>
    </row>
    <row r="132">
      <c r="A132" s="0" t="s">
        <v>28</v>
      </c>
      <c r="B132" s="0" t="s">
        <v>30</v>
      </c>
      <c r="C132" s="0" t="s">
        <v>170</v>
      </c>
      <c r="D132" s="0" t="s">
        <v>1209</v>
      </c>
      <c r="E132" s="0" t="s">
        <v>1209</v>
      </c>
      <c r="F132" s="0" t="b">
        <v>0</v>
      </c>
      <c r="G132" s="0" t="s">
        <v>1137</v>
      </c>
      <c r="H132" s="0" t="b">
        <v>0</v>
      </c>
      <c r="I132" s="0" t="s">
        <v>114</v>
      </c>
      <c r="J132" s="0">
        <v>12</v>
      </c>
      <c r="K132" s="0">
        <v>35</v>
      </c>
      <c r="L132" s="0">
        <v>231</v>
      </c>
      <c r="M132" s="1">
        <f>=HYPERLINK("10.175.1.14\MWEB.12\BT\EntityDetails.10.175.1.14.MWEB.12.-newsplus-re.231.xlsx", "&lt;Detail&gt;")</f>
      </c>
      <c r="N132" s="1">
        <f>=HYPERLINK("10.175.1.14\MWEB.12\BT\MetricGraphs.BT.10.175.1.14.MWEB.12.xlsx", "&lt;Metrics&gt;")</f>
      </c>
      <c r="O132" s="1">
        <f>=HYPERLINK("10.175.1.14\MWEB.12\BT\FlameGraph.BT.10.175.1.14.MWEB.12.-newsplus-re.231.svg", "&lt;FlGraph&gt;")</f>
      </c>
      <c r="P132" s="1">
        <f>=HYPERLINK("10.175.1.14\MWEB.12\BT\FlameChart.BT.10.175.1.14.MWEB.12.-newsplus-re.231.svg", "&lt;FlChart&gt;")</f>
      </c>
      <c r="Q132" s="0" t="s">
        <v>101</v>
      </c>
      <c r="R132" s="0" t="s">
        <v>145</v>
      </c>
      <c r="S132" s="0" t="s">
        <v>173</v>
      </c>
      <c r="T132" s="0" t="s">
        <v>1210</v>
      </c>
    </row>
    <row r="133">
      <c r="A133" s="0" t="s">
        <v>28</v>
      </c>
      <c r="B133" s="0" t="s">
        <v>30</v>
      </c>
      <c r="C133" s="0" t="s">
        <v>170</v>
      </c>
      <c r="D133" s="0" t="s">
        <v>1211</v>
      </c>
      <c r="E133" s="0" t="s">
        <v>1211</v>
      </c>
      <c r="F133" s="0" t="b">
        <v>0</v>
      </c>
      <c r="G133" s="0" t="s">
        <v>1137</v>
      </c>
      <c r="H133" s="0" t="b">
        <v>0</v>
      </c>
      <c r="I133" s="0" t="s">
        <v>114</v>
      </c>
      <c r="J133" s="0">
        <v>12</v>
      </c>
      <c r="K133" s="0">
        <v>35</v>
      </c>
      <c r="L133" s="0">
        <v>248</v>
      </c>
      <c r="M133" s="1">
        <f>=HYPERLINK("10.175.1.14\MWEB.12\BT\EntityDetails.10.175.1.14.MWEB.12.-newsplus-re.248.xlsx", "&lt;Detail&gt;")</f>
      </c>
      <c r="N133" s="1">
        <f>=HYPERLINK("10.175.1.14\MWEB.12\BT\MetricGraphs.BT.10.175.1.14.MWEB.12.xlsx", "&lt;Metrics&gt;")</f>
      </c>
      <c r="O133" s="1">
        <f>=HYPERLINK("10.175.1.14\MWEB.12\BT\FlameGraph.BT.10.175.1.14.MWEB.12.-newsplus-re.248.svg", "&lt;FlGraph&gt;")</f>
      </c>
      <c r="P133" s="1">
        <f>=HYPERLINK("10.175.1.14\MWEB.12\BT\FlameChart.BT.10.175.1.14.MWEB.12.-newsplus-re.248.svg", "&lt;FlChart&gt;")</f>
      </c>
      <c r="Q133" s="0" t="s">
        <v>101</v>
      </c>
      <c r="R133" s="0" t="s">
        <v>145</v>
      </c>
      <c r="S133" s="0" t="s">
        <v>173</v>
      </c>
      <c r="T133" s="0" t="s">
        <v>1212</v>
      </c>
    </row>
    <row r="134">
      <c r="A134" s="0" t="s">
        <v>28</v>
      </c>
      <c r="B134" s="0" t="s">
        <v>30</v>
      </c>
      <c r="C134" s="0" t="s">
        <v>170</v>
      </c>
      <c r="D134" s="0" t="s">
        <v>1213</v>
      </c>
      <c r="E134" s="0" t="s">
        <v>1213</v>
      </c>
      <c r="F134" s="0" t="b">
        <v>0</v>
      </c>
      <c r="G134" s="0" t="s">
        <v>1137</v>
      </c>
      <c r="H134" s="0" t="b">
        <v>0</v>
      </c>
      <c r="I134" s="0" t="s">
        <v>114</v>
      </c>
      <c r="J134" s="0">
        <v>12</v>
      </c>
      <c r="K134" s="0">
        <v>35</v>
      </c>
      <c r="L134" s="0">
        <v>284</v>
      </c>
      <c r="M134" s="1">
        <f>=HYPERLINK("10.175.1.14\MWEB.12\BT\EntityDetails.10.175.1.14.MWEB.12.-newsplus-re.284.xlsx", "&lt;Detail&gt;")</f>
      </c>
      <c r="N134" s="1">
        <f>=HYPERLINK("10.175.1.14\MWEB.12\BT\MetricGraphs.BT.10.175.1.14.MWEB.12.xlsx", "&lt;Metrics&gt;")</f>
      </c>
      <c r="O134" s="1">
        <f>=HYPERLINK("10.175.1.14\MWEB.12\BT\FlameGraph.BT.10.175.1.14.MWEB.12.-newsplus-re.284.svg", "&lt;FlGraph&gt;")</f>
      </c>
      <c r="P134" s="1">
        <f>=HYPERLINK("10.175.1.14\MWEB.12\BT\FlameChart.BT.10.175.1.14.MWEB.12.-newsplus-re.284.svg", "&lt;FlChart&gt;")</f>
      </c>
      <c r="Q134" s="0" t="s">
        <v>101</v>
      </c>
      <c r="R134" s="0" t="s">
        <v>145</v>
      </c>
      <c r="S134" s="0" t="s">
        <v>173</v>
      </c>
      <c r="T134" s="0" t="s">
        <v>1214</v>
      </c>
    </row>
    <row r="135">
      <c r="A135" s="0" t="s">
        <v>28</v>
      </c>
      <c r="B135" s="0" t="s">
        <v>30</v>
      </c>
      <c r="C135" s="0" t="s">
        <v>170</v>
      </c>
      <c r="D135" s="0" t="s">
        <v>1215</v>
      </c>
      <c r="E135" s="0" t="s">
        <v>1215</v>
      </c>
      <c r="F135" s="0" t="b">
        <v>0</v>
      </c>
      <c r="G135" s="0" t="s">
        <v>1137</v>
      </c>
      <c r="H135" s="0" t="b">
        <v>0</v>
      </c>
      <c r="I135" s="0" t="s">
        <v>114</v>
      </c>
      <c r="J135" s="0">
        <v>12</v>
      </c>
      <c r="K135" s="0">
        <v>35</v>
      </c>
      <c r="L135" s="0">
        <v>285</v>
      </c>
      <c r="M135" s="1">
        <f>=HYPERLINK("10.175.1.14\MWEB.12\BT\EntityDetails.10.175.1.14.MWEB.12.-newsplus-re.285.xlsx", "&lt;Detail&gt;")</f>
      </c>
      <c r="N135" s="1">
        <f>=HYPERLINK("10.175.1.14\MWEB.12\BT\MetricGraphs.BT.10.175.1.14.MWEB.12.xlsx", "&lt;Metrics&gt;")</f>
      </c>
      <c r="O135" s="1">
        <f>=HYPERLINK("10.175.1.14\MWEB.12\BT\FlameGraph.BT.10.175.1.14.MWEB.12.-newsplus-re.285.svg", "&lt;FlGraph&gt;")</f>
      </c>
      <c r="P135" s="1">
        <f>=HYPERLINK("10.175.1.14\MWEB.12\BT\FlameChart.BT.10.175.1.14.MWEB.12.-newsplus-re.285.svg", "&lt;FlChart&gt;")</f>
      </c>
      <c r="Q135" s="0" t="s">
        <v>101</v>
      </c>
      <c r="R135" s="0" t="s">
        <v>145</v>
      </c>
      <c r="S135" s="0" t="s">
        <v>173</v>
      </c>
      <c r="T135" s="0" t="s">
        <v>1216</v>
      </c>
    </row>
    <row r="136">
      <c r="A136" s="0" t="s">
        <v>28</v>
      </c>
      <c r="B136" s="0" t="s">
        <v>30</v>
      </c>
      <c r="C136" s="0" t="s">
        <v>170</v>
      </c>
      <c r="D136" s="0" t="s">
        <v>1217</v>
      </c>
      <c r="E136" s="0" t="s">
        <v>1217</v>
      </c>
      <c r="F136" s="0" t="b">
        <v>0</v>
      </c>
      <c r="G136" s="0" t="s">
        <v>1137</v>
      </c>
      <c r="H136" s="0" t="b">
        <v>0</v>
      </c>
      <c r="I136" s="0" t="s">
        <v>114</v>
      </c>
      <c r="J136" s="0">
        <v>12</v>
      </c>
      <c r="K136" s="0">
        <v>35</v>
      </c>
      <c r="L136" s="0">
        <v>287</v>
      </c>
      <c r="M136" s="1">
        <f>=HYPERLINK("10.175.1.14\MWEB.12\BT\EntityDetails.10.175.1.14.MWEB.12.-newsplus-re.287.xlsx", "&lt;Detail&gt;")</f>
      </c>
      <c r="N136" s="1">
        <f>=HYPERLINK("10.175.1.14\MWEB.12\BT\MetricGraphs.BT.10.175.1.14.MWEB.12.xlsx", "&lt;Metrics&gt;")</f>
      </c>
      <c r="O136" s="1">
        <f>=HYPERLINK("10.175.1.14\MWEB.12\BT\FlameGraph.BT.10.175.1.14.MWEB.12.-newsplus-re.287.svg", "&lt;FlGraph&gt;")</f>
      </c>
      <c r="P136" s="1">
        <f>=HYPERLINK("10.175.1.14\MWEB.12\BT\FlameChart.BT.10.175.1.14.MWEB.12.-newsplus-re.287.svg", "&lt;FlChart&gt;")</f>
      </c>
      <c r="Q136" s="0" t="s">
        <v>101</v>
      </c>
      <c r="R136" s="0" t="s">
        <v>145</v>
      </c>
      <c r="S136" s="0" t="s">
        <v>173</v>
      </c>
      <c r="T136" s="0" t="s">
        <v>1218</v>
      </c>
    </row>
    <row r="137">
      <c r="A137" s="0" t="s">
        <v>28</v>
      </c>
      <c r="B137" s="0" t="s">
        <v>30</v>
      </c>
      <c r="C137" s="0" t="s">
        <v>170</v>
      </c>
      <c r="D137" s="0" t="s">
        <v>1219</v>
      </c>
      <c r="E137" s="0" t="s">
        <v>1219</v>
      </c>
      <c r="F137" s="0" t="b">
        <v>0</v>
      </c>
      <c r="G137" s="0" t="s">
        <v>1137</v>
      </c>
      <c r="H137" s="0" t="b">
        <v>0</v>
      </c>
      <c r="I137" s="0" t="s">
        <v>114</v>
      </c>
      <c r="J137" s="0">
        <v>12</v>
      </c>
      <c r="K137" s="0">
        <v>35</v>
      </c>
      <c r="L137" s="0">
        <v>288</v>
      </c>
      <c r="M137" s="1">
        <f>=HYPERLINK("10.175.1.14\MWEB.12\BT\EntityDetails.10.175.1.14.MWEB.12.-newsplus-re.288.xlsx", "&lt;Detail&gt;")</f>
      </c>
      <c r="N137" s="1">
        <f>=HYPERLINK("10.175.1.14\MWEB.12\BT\MetricGraphs.BT.10.175.1.14.MWEB.12.xlsx", "&lt;Metrics&gt;")</f>
      </c>
      <c r="O137" s="1">
        <f>=HYPERLINK("10.175.1.14\MWEB.12\BT\FlameGraph.BT.10.175.1.14.MWEB.12.-newsplus-re.288.svg", "&lt;FlGraph&gt;")</f>
      </c>
      <c r="P137" s="1">
        <f>=HYPERLINK("10.175.1.14\MWEB.12\BT\FlameChart.BT.10.175.1.14.MWEB.12.-newsplus-re.288.svg", "&lt;FlChart&gt;")</f>
      </c>
      <c r="Q137" s="0" t="s">
        <v>101</v>
      </c>
      <c r="R137" s="0" t="s">
        <v>145</v>
      </c>
      <c r="S137" s="0" t="s">
        <v>173</v>
      </c>
      <c r="T137" s="0" t="s">
        <v>1220</v>
      </c>
    </row>
    <row r="138">
      <c r="A138" s="0" t="s">
        <v>28</v>
      </c>
      <c r="B138" s="0" t="s">
        <v>30</v>
      </c>
      <c r="C138" s="0" t="s">
        <v>170</v>
      </c>
      <c r="D138" s="0" t="s">
        <v>1221</v>
      </c>
      <c r="E138" s="0" t="s">
        <v>1221</v>
      </c>
      <c r="F138" s="0" t="b">
        <v>0</v>
      </c>
      <c r="G138" s="0" t="s">
        <v>1137</v>
      </c>
      <c r="H138" s="0" t="b">
        <v>0</v>
      </c>
      <c r="I138" s="0" t="s">
        <v>114</v>
      </c>
      <c r="J138" s="0">
        <v>12</v>
      </c>
      <c r="K138" s="0">
        <v>35</v>
      </c>
      <c r="L138" s="0">
        <v>407</v>
      </c>
      <c r="M138" s="1">
        <f>=HYPERLINK("10.175.1.14\MWEB.12\BT\EntityDetails.10.175.1.14.MWEB.12.-newsplus-rw.407.xlsx", "&lt;Detail&gt;")</f>
      </c>
      <c r="N138" s="1">
        <f>=HYPERLINK("10.175.1.14\MWEB.12\BT\MetricGraphs.BT.10.175.1.14.MWEB.12.xlsx", "&lt;Metrics&gt;")</f>
      </c>
      <c r="O138" s="1">
        <f>=HYPERLINK("10.175.1.14\MWEB.12\BT\FlameGraph.BT.10.175.1.14.MWEB.12.-newsplus-rw.407.svg", "&lt;FlGraph&gt;")</f>
      </c>
      <c r="P138" s="1">
        <f>=HYPERLINK("10.175.1.14\MWEB.12\BT\FlameChart.BT.10.175.1.14.MWEB.12.-newsplus-rw.407.svg", "&lt;FlChart&gt;")</f>
      </c>
      <c r="Q138" s="0" t="s">
        <v>101</v>
      </c>
      <c r="R138" s="0" t="s">
        <v>145</v>
      </c>
      <c r="S138" s="0" t="s">
        <v>173</v>
      </c>
      <c r="T138" s="0" t="s">
        <v>1222</v>
      </c>
    </row>
    <row r="139">
      <c r="A139" s="0" t="s">
        <v>28</v>
      </c>
      <c r="B139" s="0" t="s">
        <v>30</v>
      </c>
      <c r="C139" s="0" t="s">
        <v>170</v>
      </c>
      <c r="D139" s="0" t="s">
        <v>1223</v>
      </c>
      <c r="E139" s="0" t="s">
        <v>1223</v>
      </c>
      <c r="F139" s="0" t="b">
        <v>0</v>
      </c>
      <c r="G139" s="0" t="s">
        <v>1137</v>
      </c>
      <c r="H139" s="0" t="b">
        <v>0</v>
      </c>
      <c r="I139" s="0" t="s">
        <v>114</v>
      </c>
      <c r="J139" s="0">
        <v>12</v>
      </c>
      <c r="K139" s="0">
        <v>35</v>
      </c>
      <c r="L139" s="0">
        <v>348</v>
      </c>
      <c r="M139" s="1">
        <f>=HYPERLINK("10.175.1.14\MWEB.12\BT\EntityDetails.10.175.1.14.MWEB.12.-newsplus-sa.348.xlsx", "&lt;Detail&gt;")</f>
      </c>
      <c r="N139" s="1">
        <f>=HYPERLINK("10.175.1.14\MWEB.12\BT\MetricGraphs.BT.10.175.1.14.MWEB.12.xlsx", "&lt;Metrics&gt;")</f>
      </c>
      <c r="O139" s="1">
        <f>=HYPERLINK("10.175.1.14\MWEB.12\BT\FlameGraph.BT.10.175.1.14.MWEB.12.-newsplus-sa.348.svg", "&lt;FlGraph&gt;")</f>
      </c>
      <c r="P139" s="1">
        <f>=HYPERLINK("10.175.1.14\MWEB.12\BT\FlameChart.BT.10.175.1.14.MWEB.12.-newsplus-sa.348.svg", "&lt;FlChart&gt;")</f>
      </c>
      <c r="Q139" s="0" t="s">
        <v>101</v>
      </c>
      <c r="R139" s="0" t="s">
        <v>145</v>
      </c>
      <c r="S139" s="0" t="s">
        <v>173</v>
      </c>
      <c r="T139" s="0" t="s">
        <v>1224</v>
      </c>
    </row>
    <row r="140">
      <c r="A140" s="0" t="s">
        <v>28</v>
      </c>
      <c r="B140" s="0" t="s">
        <v>30</v>
      </c>
      <c r="C140" s="0" t="s">
        <v>170</v>
      </c>
      <c r="D140" s="0" t="s">
        <v>1225</v>
      </c>
      <c r="E140" s="0" t="s">
        <v>1225</v>
      </c>
      <c r="F140" s="0" t="b">
        <v>0</v>
      </c>
      <c r="G140" s="0" t="s">
        <v>1137</v>
      </c>
      <c r="H140" s="0" t="b">
        <v>0</v>
      </c>
      <c r="I140" s="0" t="s">
        <v>114</v>
      </c>
      <c r="J140" s="0">
        <v>12</v>
      </c>
      <c r="K140" s="0">
        <v>35</v>
      </c>
      <c r="L140" s="0">
        <v>249</v>
      </c>
      <c r="M140" s="1">
        <f>=HYPERLINK("10.175.1.14\MWEB.12\BT\EntityDetails.10.175.1.14.MWEB.12.-newsplus-se.249.xlsx", "&lt;Detail&gt;")</f>
      </c>
      <c r="N140" s="1">
        <f>=HYPERLINK("10.175.1.14\MWEB.12\BT\MetricGraphs.BT.10.175.1.14.MWEB.12.xlsx", "&lt;Metrics&gt;")</f>
      </c>
      <c r="O140" s="1">
        <f>=HYPERLINK("10.175.1.14\MWEB.12\BT\FlameGraph.BT.10.175.1.14.MWEB.12.-newsplus-se.249.svg", "&lt;FlGraph&gt;")</f>
      </c>
      <c r="P140" s="1">
        <f>=HYPERLINK("10.175.1.14\MWEB.12\BT\FlameChart.BT.10.175.1.14.MWEB.12.-newsplus-se.249.svg", "&lt;FlChart&gt;")</f>
      </c>
      <c r="Q140" s="0" t="s">
        <v>101</v>
      </c>
      <c r="R140" s="0" t="s">
        <v>145</v>
      </c>
      <c r="S140" s="0" t="s">
        <v>173</v>
      </c>
      <c r="T140" s="0" t="s">
        <v>1226</v>
      </c>
    </row>
    <row r="141">
      <c r="A141" s="0" t="s">
        <v>28</v>
      </c>
      <c r="B141" s="0" t="s">
        <v>30</v>
      </c>
      <c r="C141" s="0" t="s">
        <v>170</v>
      </c>
      <c r="D141" s="0" t="s">
        <v>1227</v>
      </c>
      <c r="E141" s="0" t="s">
        <v>1227</v>
      </c>
      <c r="F141" s="0" t="b">
        <v>0</v>
      </c>
      <c r="G141" s="0" t="s">
        <v>1137</v>
      </c>
      <c r="H141" s="0" t="b">
        <v>0</v>
      </c>
      <c r="I141" s="0" t="s">
        <v>114</v>
      </c>
      <c r="J141" s="0">
        <v>12</v>
      </c>
      <c r="K141" s="0">
        <v>35</v>
      </c>
      <c r="L141" s="0">
        <v>294</v>
      </c>
      <c r="M141" s="1">
        <f>=HYPERLINK("10.175.1.14\MWEB.12\BT\EntityDetails.10.175.1.14.MWEB.12.-newsplus-se.294.xlsx", "&lt;Detail&gt;")</f>
      </c>
      <c r="N141" s="1">
        <f>=HYPERLINK("10.175.1.14\MWEB.12\BT\MetricGraphs.BT.10.175.1.14.MWEB.12.xlsx", "&lt;Metrics&gt;")</f>
      </c>
      <c r="O141" s="1">
        <f>=HYPERLINK("10.175.1.14\MWEB.12\BT\FlameGraph.BT.10.175.1.14.MWEB.12.-newsplus-se.294.svg", "&lt;FlGraph&gt;")</f>
      </c>
      <c r="P141" s="1">
        <f>=HYPERLINK("10.175.1.14\MWEB.12\BT\FlameChart.BT.10.175.1.14.MWEB.12.-newsplus-se.294.svg", "&lt;FlChart&gt;")</f>
      </c>
      <c r="Q141" s="0" t="s">
        <v>101</v>
      </c>
      <c r="R141" s="0" t="s">
        <v>145</v>
      </c>
      <c r="S141" s="0" t="s">
        <v>173</v>
      </c>
      <c r="T141" s="0" t="s">
        <v>1228</v>
      </c>
    </row>
    <row r="142">
      <c r="A142" s="0" t="s">
        <v>28</v>
      </c>
      <c r="B142" s="0" t="s">
        <v>30</v>
      </c>
      <c r="C142" s="0" t="s">
        <v>170</v>
      </c>
      <c r="D142" s="0" t="s">
        <v>1229</v>
      </c>
      <c r="E142" s="0" t="s">
        <v>1229</v>
      </c>
      <c r="F142" s="0" t="b">
        <v>0</v>
      </c>
      <c r="G142" s="0" t="s">
        <v>1137</v>
      </c>
      <c r="H142" s="0" t="b">
        <v>0</v>
      </c>
      <c r="I142" s="0" t="s">
        <v>114</v>
      </c>
      <c r="J142" s="0">
        <v>12</v>
      </c>
      <c r="K142" s="0">
        <v>35</v>
      </c>
      <c r="L142" s="0">
        <v>121</v>
      </c>
      <c r="M142" s="1">
        <f>=HYPERLINK("10.175.1.14\MWEB.12\BT\EntityDetails.10.175.1.14.MWEB.12.-newsplus-sh.121.xlsx", "&lt;Detail&gt;")</f>
      </c>
      <c r="N142" s="1">
        <f>=HYPERLINK("10.175.1.14\MWEB.12\BT\MetricGraphs.BT.10.175.1.14.MWEB.12.xlsx", "&lt;Metrics&gt;")</f>
      </c>
      <c r="O142" s="1">
        <f>=HYPERLINK("10.175.1.14\MWEB.12\BT\FlameGraph.BT.10.175.1.14.MWEB.12.-newsplus-sh.121.svg", "&lt;FlGraph&gt;")</f>
      </c>
      <c r="P142" s="1">
        <f>=HYPERLINK("10.175.1.14\MWEB.12\BT\FlameChart.BT.10.175.1.14.MWEB.12.-newsplus-sh.121.svg", "&lt;FlChart&gt;")</f>
      </c>
      <c r="Q142" s="0" t="s">
        <v>101</v>
      </c>
      <c r="R142" s="0" t="s">
        <v>145</v>
      </c>
      <c r="S142" s="0" t="s">
        <v>173</v>
      </c>
      <c r="T142" s="0" t="s">
        <v>1230</v>
      </c>
    </row>
    <row r="143">
      <c r="A143" s="0" t="s">
        <v>28</v>
      </c>
      <c r="B143" s="0" t="s">
        <v>30</v>
      </c>
      <c r="C143" s="0" t="s">
        <v>170</v>
      </c>
      <c r="D143" s="0" t="s">
        <v>1231</v>
      </c>
      <c r="E143" s="0" t="s">
        <v>1231</v>
      </c>
      <c r="F143" s="0" t="b">
        <v>0</v>
      </c>
      <c r="G143" s="0" t="s">
        <v>1137</v>
      </c>
      <c r="H143" s="0" t="b">
        <v>0</v>
      </c>
      <c r="I143" s="0" t="s">
        <v>114</v>
      </c>
      <c r="J143" s="0">
        <v>12</v>
      </c>
      <c r="K143" s="0">
        <v>35</v>
      </c>
      <c r="L143" s="0">
        <v>252</v>
      </c>
      <c r="M143" s="1">
        <f>=HYPERLINK("10.175.1.14\MWEB.12\BT\EntityDetails.10.175.1.14.MWEB.12.-newsplus-sh.252.xlsx", "&lt;Detail&gt;")</f>
      </c>
      <c r="N143" s="1">
        <f>=HYPERLINK("10.175.1.14\MWEB.12\BT\MetricGraphs.BT.10.175.1.14.MWEB.12.xlsx", "&lt;Metrics&gt;")</f>
      </c>
      <c r="O143" s="1">
        <f>=HYPERLINK("10.175.1.14\MWEB.12\BT\FlameGraph.BT.10.175.1.14.MWEB.12.-newsplus-sh.252.svg", "&lt;FlGraph&gt;")</f>
      </c>
      <c r="P143" s="1">
        <f>=HYPERLINK("10.175.1.14\MWEB.12\BT\FlameChart.BT.10.175.1.14.MWEB.12.-newsplus-sh.252.svg", "&lt;FlChart&gt;")</f>
      </c>
      <c r="Q143" s="0" t="s">
        <v>101</v>
      </c>
      <c r="R143" s="0" t="s">
        <v>145</v>
      </c>
      <c r="S143" s="0" t="s">
        <v>173</v>
      </c>
      <c r="T143" s="0" t="s">
        <v>1232</v>
      </c>
    </row>
    <row r="144">
      <c r="A144" s="0" t="s">
        <v>28</v>
      </c>
      <c r="B144" s="0" t="s">
        <v>30</v>
      </c>
      <c r="C144" s="0" t="s">
        <v>170</v>
      </c>
      <c r="D144" s="0" t="s">
        <v>1233</v>
      </c>
      <c r="E144" s="0" t="s">
        <v>1233</v>
      </c>
      <c r="F144" s="0" t="b">
        <v>0</v>
      </c>
      <c r="G144" s="0" t="s">
        <v>1137</v>
      </c>
      <c r="H144" s="0" t="b">
        <v>0</v>
      </c>
      <c r="I144" s="0" t="s">
        <v>114</v>
      </c>
      <c r="J144" s="0">
        <v>12</v>
      </c>
      <c r="K144" s="0">
        <v>35</v>
      </c>
      <c r="L144" s="0">
        <v>291</v>
      </c>
      <c r="M144" s="1">
        <f>=HYPERLINK("10.175.1.14\MWEB.12\BT\EntityDetails.10.175.1.14.MWEB.12.-newsplus-sh.291.xlsx", "&lt;Detail&gt;")</f>
      </c>
      <c r="N144" s="1">
        <f>=HYPERLINK("10.175.1.14\MWEB.12\BT\MetricGraphs.BT.10.175.1.14.MWEB.12.xlsx", "&lt;Metrics&gt;")</f>
      </c>
      <c r="O144" s="1">
        <f>=HYPERLINK("10.175.1.14\MWEB.12\BT\FlameGraph.BT.10.175.1.14.MWEB.12.-newsplus-sh.291.svg", "&lt;FlGraph&gt;")</f>
      </c>
      <c r="P144" s="1">
        <f>=HYPERLINK("10.175.1.14\MWEB.12\BT\FlameChart.BT.10.175.1.14.MWEB.12.-newsplus-sh.291.svg", "&lt;FlChart&gt;")</f>
      </c>
      <c r="Q144" s="0" t="s">
        <v>101</v>
      </c>
      <c r="R144" s="0" t="s">
        <v>145</v>
      </c>
      <c r="S144" s="0" t="s">
        <v>173</v>
      </c>
      <c r="T144" s="0" t="s">
        <v>1234</v>
      </c>
    </row>
    <row r="145">
      <c r="A145" s="0" t="s">
        <v>28</v>
      </c>
      <c r="B145" s="0" t="s">
        <v>30</v>
      </c>
      <c r="C145" s="0" t="s">
        <v>170</v>
      </c>
      <c r="D145" s="0" t="s">
        <v>1235</v>
      </c>
      <c r="E145" s="0" t="s">
        <v>1235</v>
      </c>
      <c r="F145" s="0" t="b">
        <v>0</v>
      </c>
      <c r="G145" s="0" t="s">
        <v>1137</v>
      </c>
      <c r="H145" s="0" t="b">
        <v>0</v>
      </c>
      <c r="I145" s="0" t="s">
        <v>114</v>
      </c>
      <c r="J145" s="0">
        <v>12</v>
      </c>
      <c r="K145" s="0">
        <v>35</v>
      </c>
      <c r="L145" s="0">
        <v>414</v>
      </c>
      <c r="M145" s="1">
        <f>=HYPERLINK("10.175.1.14\MWEB.12\BT\EntityDetails.10.175.1.14.MWEB.12.-newsplus-sy.414.xlsx", "&lt;Detail&gt;")</f>
      </c>
      <c r="N145" s="1">
        <f>=HYPERLINK("10.175.1.14\MWEB.12\BT\MetricGraphs.BT.10.175.1.14.MWEB.12.xlsx", "&lt;Metrics&gt;")</f>
      </c>
      <c r="O145" s="1">
        <f>=HYPERLINK("10.175.1.14\MWEB.12\BT\FlameGraph.BT.10.175.1.14.MWEB.12.-newsplus-sy.414.svg", "&lt;FlGraph&gt;")</f>
      </c>
      <c r="P145" s="1">
        <f>=HYPERLINK("10.175.1.14\MWEB.12\BT\FlameChart.BT.10.175.1.14.MWEB.12.-newsplus-sy.414.svg", "&lt;FlChart&gt;")</f>
      </c>
      <c r="Q145" s="0" t="s">
        <v>101</v>
      </c>
      <c r="R145" s="0" t="s">
        <v>145</v>
      </c>
      <c r="S145" s="0" t="s">
        <v>173</v>
      </c>
      <c r="T145" s="0" t="s">
        <v>1236</v>
      </c>
    </row>
    <row r="146">
      <c r="A146" s="0" t="s">
        <v>28</v>
      </c>
      <c r="B146" s="0" t="s">
        <v>30</v>
      </c>
      <c r="C146" s="0" t="s">
        <v>170</v>
      </c>
      <c r="D146" s="0" t="s">
        <v>1237</v>
      </c>
      <c r="E146" s="0" t="s">
        <v>1237</v>
      </c>
      <c r="F146" s="0" t="b">
        <v>0</v>
      </c>
      <c r="G146" s="0" t="s">
        <v>1137</v>
      </c>
      <c r="H146" s="0" t="b">
        <v>0</v>
      </c>
      <c r="I146" s="0" t="s">
        <v>114</v>
      </c>
      <c r="J146" s="0">
        <v>12</v>
      </c>
      <c r="K146" s="0">
        <v>35</v>
      </c>
      <c r="L146" s="0">
        <v>332</v>
      </c>
      <c r="M146" s="1">
        <f>=HYPERLINK("10.175.1.14\MWEB.12\BT\EntityDetails.10.175.1.14.MWEB.12.-newsplus-te.332.xlsx", "&lt;Detail&gt;")</f>
      </c>
      <c r="N146" s="1">
        <f>=HYPERLINK("10.175.1.14\MWEB.12\BT\MetricGraphs.BT.10.175.1.14.MWEB.12.xlsx", "&lt;Metrics&gt;")</f>
      </c>
      <c r="O146" s="1">
        <f>=HYPERLINK("10.175.1.14\MWEB.12\BT\FlameGraph.BT.10.175.1.14.MWEB.12.-newsplus-te.332.svg", "&lt;FlGraph&gt;")</f>
      </c>
      <c r="P146" s="1">
        <f>=HYPERLINK("10.175.1.14\MWEB.12\BT\FlameChart.BT.10.175.1.14.MWEB.12.-newsplus-te.332.svg", "&lt;FlChart&gt;")</f>
      </c>
      <c r="Q146" s="0" t="s">
        <v>101</v>
      </c>
      <c r="R146" s="0" t="s">
        <v>145</v>
      </c>
      <c r="S146" s="0" t="s">
        <v>173</v>
      </c>
      <c r="T146" s="0" t="s">
        <v>1238</v>
      </c>
    </row>
    <row r="147">
      <c r="A147" s="0" t="s">
        <v>28</v>
      </c>
      <c r="B147" s="0" t="s">
        <v>30</v>
      </c>
      <c r="C147" s="0" t="s">
        <v>170</v>
      </c>
      <c r="D147" s="0" t="s">
        <v>1239</v>
      </c>
      <c r="E147" s="0" t="s">
        <v>1239</v>
      </c>
      <c r="F147" s="0" t="b">
        <v>0</v>
      </c>
      <c r="G147" s="0" t="s">
        <v>1137</v>
      </c>
      <c r="H147" s="0" t="b">
        <v>0</v>
      </c>
      <c r="I147" s="0" t="s">
        <v>114</v>
      </c>
      <c r="J147" s="0">
        <v>12</v>
      </c>
      <c r="K147" s="0">
        <v>35</v>
      </c>
      <c r="L147" s="0">
        <v>345</v>
      </c>
      <c r="M147" s="1">
        <f>=HYPERLINK("10.175.1.14\MWEB.12\BT\EntityDetails.10.175.1.14.MWEB.12.-newsplus-ts.345.xlsx", "&lt;Detail&gt;")</f>
      </c>
      <c r="N147" s="1">
        <f>=HYPERLINK("10.175.1.14\MWEB.12\BT\MetricGraphs.BT.10.175.1.14.MWEB.12.xlsx", "&lt;Metrics&gt;")</f>
      </c>
      <c r="O147" s="1">
        <f>=HYPERLINK("10.175.1.14\MWEB.12\BT\FlameGraph.BT.10.175.1.14.MWEB.12.-newsplus-ts.345.svg", "&lt;FlGraph&gt;")</f>
      </c>
      <c r="P147" s="1">
        <f>=HYPERLINK("10.175.1.14\MWEB.12\BT\FlameChart.BT.10.175.1.14.MWEB.12.-newsplus-ts.345.svg", "&lt;FlChart&gt;")</f>
      </c>
      <c r="Q147" s="0" t="s">
        <v>101</v>
      </c>
      <c r="R147" s="0" t="s">
        <v>145</v>
      </c>
      <c r="S147" s="0" t="s">
        <v>173</v>
      </c>
      <c r="T147" s="0" t="s">
        <v>1240</v>
      </c>
    </row>
    <row r="148">
      <c r="A148" s="0" t="s">
        <v>28</v>
      </c>
      <c r="B148" s="0" t="s">
        <v>30</v>
      </c>
      <c r="C148" s="0" t="s">
        <v>170</v>
      </c>
      <c r="D148" s="0" t="s">
        <v>1241</v>
      </c>
      <c r="E148" s="0" t="s">
        <v>1241</v>
      </c>
      <c r="F148" s="0" t="b">
        <v>0</v>
      </c>
      <c r="G148" s="0" t="s">
        <v>1137</v>
      </c>
      <c r="H148" s="0" t="b">
        <v>0</v>
      </c>
      <c r="I148" s="0" t="s">
        <v>114</v>
      </c>
      <c r="J148" s="0">
        <v>12</v>
      </c>
      <c r="K148" s="0">
        <v>35</v>
      </c>
      <c r="L148" s="0">
        <v>236</v>
      </c>
      <c r="M148" s="1">
        <f>=HYPERLINK("10.175.1.14\MWEB.12\BT\EntityDetails.10.175.1.14.MWEB.12.-newsplus-va.236.xlsx", "&lt;Detail&gt;")</f>
      </c>
      <c r="N148" s="1">
        <f>=HYPERLINK("10.175.1.14\MWEB.12\BT\MetricGraphs.BT.10.175.1.14.MWEB.12.xlsx", "&lt;Metrics&gt;")</f>
      </c>
      <c r="O148" s="1">
        <f>=HYPERLINK("10.175.1.14\MWEB.12\BT\FlameGraph.BT.10.175.1.14.MWEB.12.-newsplus-va.236.svg", "&lt;FlGraph&gt;")</f>
      </c>
      <c r="P148" s="1">
        <f>=HYPERLINK("10.175.1.14\MWEB.12\BT\FlameChart.BT.10.175.1.14.MWEB.12.-newsplus-va.236.svg", "&lt;FlChart&gt;")</f>
      </c>
      <c r="Q148" s="0" t="s">
        <v>101</v>
      </c>
      <c r="R148" s="0" t="s">
        <v>145</v>
      </c>
      <c r="S148" s="0" t="s">
        <v>173</v>
      </c>
      <c r="T148" s="0" t="s">
        <v>1242</v>
      </c>
    </row>
    <row r="149">
      <c r="A149" s="0" t="s">
        <v>28</v>
      </c>
      <c r="B149" s="0" t="s">
        <v>30</v>
      </c>
      <c r="C149" s="0" t="s">
        <v>170</v>
      </c>
      <c r="D149" s="0" t="s">
        <v>1243</v>
      </c>
      <c r="E149" s="0" t="s">
        <v>1243</v>
      </c>
      <c r="F149" s="0" t="b">
        <v>0</v>
      </c>
      <c r="G149" s="0" t="s">
        <v>1137</v>
      </c>
      <c r="H149" s="0" t="b">
        <v>0</v>
      </c>
      <c r="I149" s="0" t="s">
        <v>114</v>
      </c>
      <c r="J149" s="0">
        <v>12</v>
      </c>
      <c r="K149" s="0">
        <v>35</v>
      </c>
      <c r="L149" s="0">
        <v>226</v>
      </c>
      <c r="M149" s="1">
        <f>=HYPERLINK("10.175.1.14\MWEB.12\BT\EntityDetails.10.175.1.14.MWEB.12.-newsplus-vi.226.xlsx", "&lt;Detail&gt;")</f>
      </c>
      <c r="N149" s="1">
        <f>=HYPERLINK("10.175.1.14\MWEB.12\BT\MetricGraphs.BT.10.175.1.14.MWEB.12.xlsx", "&lt;Metrics&gt;")</f>
      </c>
      <c r="O149" s="1">
        <f>=HYPERLINK("10.175.1.14\MWEB.12\BT\FlameGraph.BT.10.175.1.14.MWEB.12.-newsplus-vi.226.svg", "&lt;FlGraph&gt;")</f>
      </c>
      <c r="P149" s="1">
        <f>=HYPERLINK("10.175.1.14\MWEB.12\BT\FlameChart.BT.10.175.1.14.MWEB.12.-newsplus-vi.226.svg", "&lt;FlChart&gt;")</f>
      </c>
      <c r="Q149" s="0" t="s">
        <v>101</v>
      </c>
      <c r="R149" s="0" t="s">
        <v>145</v>
      </c>
      <c r="S149" s="0" t="s">
        <v>173</v>
      </c>
      <c r="T149" s="0" t="s">
        <v>1244</v>
      </c>
    </row>
    <row r="150">
      <c r="A150" s="0" t="s">
        <v>28</v>
      </c>
      <c r="B150" s="0" t="s">
        <v>30</v>
      </c>
      <c r="C150" s="0" t="s">
        <v>170</v>
      </c>
      <c r="D150" s="0" t="s">
        <v>1245</v>
      </c>
      <c r="E150" s="0" t="s">
        <v>1245</v>
      </c>
      <c r="F150" s="0" t="b">
        <v>0</v>
      </c>
      <c r="G150" s="0" t="s">
        <v>1137</v>
      </c>
      <c r="H150" s="0" t="b">
        <v>0</v>
      </c>
      <c r="I150" s="0" t="s">
        <v>114</v>
      </c>
      <c r="J150" s="0">
        <v>12</v>
      </c>
      <c r="K150" s="0">
        <v>35</v>
      </c>
      <c r="L150" s="0">
        <v>93</v>
      </c>
      <c r="M150" s="1">
        <f>=HYPERLINK("10.175.1.14\MWEB.12\BT\EntityDetails.10.175.1.14.MWEB.12.-newsplus-vi.93.xlsx", "&lt;Detail&gt;")</f>
      </c>
      <c r="N150" s="1">
        <f>=HYPERLINK("10.175.1.14\MWEB.12\BT\MetricGraphs.BT.10.175.1.14.MWEB.12.xlsx", "&lt;Metrics&gt;")</f>
      </c>
      <c r="O150" s="1">
        <f>=HYPERLINK("10.175.1.14\MWEB.12\BT\FlameGraph.BT.10.175.1.14.MWEB.12.-newsplus-vi.93.svg", "&lt;FlGraph&gt;")</f>
      </c>
      <c r="P150" s="1">
        <f>=HYPERLINK("10.175.1.14\MWEB.12\BT\FlameChart.BT.10.175.1.14.MWEB.12.-newsplus-vi.93.svg", "&lt;FlChart&gt;")</f>
      </c>
      <c r="Q150" s="0" t="s">
        <v>101</v>
      </c>
      <c r="R150" s="0" t="s">
        <v>145</v>
      </c>
      <c r="S150" s="0" t="s">
        <v>173</v>
      </c>
      <c r="T150" s="0" t="s">
        <v>1246</v>
      </c>
    </row>
    <row r="151">
      <c r="A151" s="0" t="s">
        <v>28</v>
      </c>
      <c r="B151" s="0" t="s">
        <v>30</v>
      </c>
      <c r="C151" s="0" t="s">
        <v>170</v>
      </c>
      <c r="D151" s="0" t="s">
        <v>1247</v>
      </c>
      <c r="E151" s="0" t="s">
        <v>1247</v>
      </c>
      <c r="F151" s="0" t="b">
        <v>0</v>
      </c>
      <c r="G151" s="0" t="s">
        <v>1137</v>
      </c>
      <c r="H151" s="0" t="b">
        <v>0</v>
      </c>
      <c r="I151" s="0" t="s">
        <v>114</v>
      </c>
      <c r="J151" s="0">
        <v>12</v>
      </c>
      <c r="K151" s="0">
        <v>35</v>
      </c>
      <c r="L151" s="0">
        <v>267</v>
      </c>
      <c r="M151" s="1">
        <f>=HYPERLINK("10.175.1.14\MWEB.12\BT\EntityDetails.10.175.1.14.MWEB.12.-newsplus-vi.267.xlsx", "&lt;Detail&gt;")</f>
      </c>
      <c r="N151" s="1">
        <f>=HYPERLINK("10.175.1.14\MWEB.12\BT\MetricGraphs.BT.10.175.1.14.MWEB.12.xlsx", "&lt;Metrics&gt;")</f>
      </c>
      <c r="O151" s="1">
        <f>=HYPERLINK("10.175.1.14\MWEB.12\BT\FlameGraph.BT.10.175.1.14.MWEB.12.-newsplus-vi.267.svg", "&lt;FlGraph&gt;")</f>
      </c>
      <c r="P151" s="1">
        <f>=HYPERLINK("10.175.1.14\MWEB.12\BT\FlameChart.BT.10.175.1.14.MWEB.12.-newsplus-vi.267.svg", "&lt;FlChart&gt;")</f>
      </c>
      <c r="Q151" s="0" t="s">
        <v>101</v>
      </c>
      <c r="R151" s="0" t="s">
        <v>145</v>
      </c>
      <c r="S151" s="0" t="s">
        <v>173</v>
      </c>
      <c r="T151" s="0" t="s">
        <v>1248</v>
      </c>
    </row>
    <row r="152">
      <c r="A152" s="0" t="s">
        <v>28</v>
      </c>
      <c r="B152" s="0" t="s">
        <v>30</v>
      </c>
      <c r="C152" s="0" t="s">
        <v>170</v>
      </c>
      <c r="D152" s="0" t="s">
        <v>1249</v>
      </c>
      <c r="E152" s="0" t="s">
        <v>1249</v>
      </c>
      <c r="F152" s="0" t="b">
        <v>0</v>
      </c>
      <c r="G152" s="0" t="s">
        <v>1137</v>
      </c>
      <c r="H152" s="0" t="b">
        <v>0</v>
      </c>
      <c r="I152" s="0" t="s">
        <v>114</v>
      </c>
      <c r="J152" s="0">
        <v>12</v>
      </c>
      <c r="K152" s="0">
        <v>35</v>
      </c>
      <c r="L152" s="0">
        <v>88</v>
      </c>
      <c r="M152" s="1">
        <f>=HYPERLINK("10.175.1.14\MWEB.12\BT\EntityDetails.10.175.1.14.MWEB.12.-newsplus-vi.88.xlsx", "&lt;Detail&gt;")</f>
      </c>
      <c r="N152" s="1">
        <f>=HYPERLINK("10.175.1.14\MWEB.12\BT\MetricGraphs.BT.10.175.1.14.MWEB.12.xlsx", "&lt;Metrics&gt;")</f>
      </c>
      <c r="O152" s="1">
        <f>=HYPERLINK("10.175.1.14\MWEB.12\BT\FlameGraph.BT.10.175.1.14.MWEB.12.-newsplus-vi.88.svg", "&lt;FlGraph&gt;")</f>
      </c>
      <c r="P152" s="1">
        <f>=HYPERLINK("10.175.1.14\MWEB.12\BT\FlameChart.BT.10.175.1.14.MWEB.12.-newsplus-vi.88.svg", "&lt;FlChart&gt;")</f>
      </c>
      <c r="Q152" s="0" t="s">
        <v>101</v>
      </c>
      <c r="R152" s="0" t="s">
        <v>145</v>
      </c>
      <c r="S152" s="0" t="s">
        <v>173</v>
      </c>
      <c r="T152" s="0" t="s">
        <v>1250</v>
      </c>
    </row>
    <row r="153">
      <c r="A153" s="0" t="s">
        <v>28</v>
      </c>
      <c r="B153" s="0" t="s">
        <v>30</v>
      </c>
      <c r="C153" s="0" t="s">
        <v>170</v>
      </c>
      <c r="D153" s="0" t="s">
        <v>1030</v>
      </c>
      <c r="E153" s="0" t="s">
        <v>1030</v>
      </c>
      <c r="F153" s="0" t="b">
        <v>0</v>
      </c>
      <c r="G153" s="0" t="s">
        <v>1031</v>
      </c>
      <c r="H153" s="0" t="b">
        <v>0</v>
      </c>
      <c r="I153" s="0" t="s">
        <v>114</v>
      </c>
      <c r="J153" s="0">
        <v>12</v>
      </c>
      <c r="K153" s="0">
        <v>35</v>
      </c>
      <c r="L153" s="0">
        <v>90</v>
      </c>
      <c r="M153" s="1">
        <f>=HYPERLINK("10.175.1.14\MWEB.12\BT\EntityDetails.10.175.1.14.MWEB.12._APPDYNAMICS.90.xlsx", "&lt;Detail&gt;")</f>
      </c>
      <c r="N153" s="1">
        <f>=HYPERLINK("10.175.1.14\MWEB.12\BT\MetricGraphs.BT.10.175.1.14.MWEB.12.xlsx", "&lt;Metrics&gt;")</f>
      </c>
      <c r="O153" s="1">
        <f>=HYPERLINK("10.175.1.14\MWEB.12\BT\FlameGraph.BT.10.175.1.14.MWEB.12._APPDYNAMICS.90.svg", "&lt;FlGraph&gt;")</f>
      </c>
      <c r="P153" s="1">
        <f>=HYPERLINK("10.175.1.14\MWEB.12\BT\FlameChart.BT.10.175.1.14.MWEB.12._APPDYNAMICS.90.svg", "&lt;FlChart&gt;")</f>
      </c>
      <c r="Q153" s="0" t="s">
        <v>101</v>
      </c>
      <c r="R153" s="0" t="s">
        <v>145</v>
      </c>
      <c r="S153" s="0" t="s">
        <v>173</v>
      </c>
      <c r="T153" s="0" t="s">
        <v>1251</v>
      </c>
    </row>
    <row r="154">
      <c r="A154" s="0" t="s">
        <v>28</v>
      </c>
      <c r="B154" s="0" t="s">
        <v>30</v>
      </c>
      <c r="C154" s="0" t="s">
        <v>170</v>
      </c>
      <c r="D154" s="0" t="s">
        <v>1030</v>
      </c>
      <c r="E154" s="0" t="s">
        <v>1030</v>
      </c>
      <c r="F154" s="0" t="b">
        <v>0</v>
      </c>
      <c r="G154" s="0" t="s">
        <v>1031</v>
      </c>
      <c r="H154" s="0" t="b">
        <v>0</v>
      </c>
      <c r="I154" s="0" t="s">
        <v>114</v>
      </c>
      <c r="J154" s="0">
        <v>12</v>
      </c>
      <c r="K154" s="0">
        <v>35</v>
      </c>
      <c r="L154" s="0">
        <v>433</v>
      </c>
      <c r="M154" s="1">
        <f>=HYPERLINK("10.175.1.14\MWEB.12\BT\EntityDetails.10.175.1.14.MWEB.12._APPDYNAMICS.433.xlsx", "&lt;Detail&gt;")</f>
      </c>
      <c r="N154" s="1">
        <f>=HYPERLINK("10.175.1.14\MWEB.12\BT\MetricGraphs.BT.10.175.1.14.MWEB.12.xlsx", "&lt;Metrics&gt;")</f>
      </c>
      <c r="O154" s="1">
        <f>=HYPERLINK("10.175.1.14\MWEB.12\BT\FlameGraph.BT.10.175.1.14.MWEB.12._APPDYNAMICS.433.svg", "&lt;FlGraph&gt;")</f>
      </c>
      <c r="P154" s="1">
        <f>=HYPERLINK("10.175.1.14\MWEB.12\BT\FlameChart.BT.10.175.1.14.MWEB.12._APPDYNAMICS.433.svg", "&lt;FlChart&gt;")</f>
      </c>
      <c r="Q154" s="0" t="s">
        <v>101</v>
      </c>
      <c r="R154" s="0" t="s">
        <v>145</v>
      </c>
      <c r="S154" s="0" t="s">
        <v>173</v>
      </c>
      <c r="T154" s="0" t="s">
        <v>1252</v>
      </c>
    </row>
    <row r="155">
      <c r="A155" s="0" t="s">
        <v>28</v>
      </c>
      <c r="B155" s="0" t="s">
        <v>30</v>
      </c>
      <c r="C155" s="0" t="s">
        <v>170</v>
      </c>
      <c r="D155" s="0" t="s">
        <v>1253</v>
      </c>
      <c r="E155" s="0" t="s">
        <v>1253</v>
      </c>
      <c r="F155" s="0" t="b">
        <v>0</v>
      </c>
      <c r="G155" s="0" t="s">
        <v>1137</v>
      </c>
      <c r="H155" s="0" t="b">
        <v>0</v>
      </c>
      <c r="I155" s="0" t="s">
        <v>114</v>
      </c>
      <c r="J155" s="0">
        <v>12</v>
      </c>
      <c r="K155" s="0">
        <v>35</v>
      </c>
      <c r="L155" s="0">
        <v>431</v>
      </c>
      <c r="M155" s="1">
        <f>=HYPERLINK("10.175.1.14\MWEB.12\BT\EntityDetails.10.175.1.14.MWEB.12.Newsplus.431.xlsx", "&lt;Detail&gt;")</f>
      </c>
      <c r="N155" s="1">
        <f>=HYPERLINK("10.175.1.14\MWEB.12\BT\MetricGraphs.BT.10.175.1.14.MWEB.12.xlsx", "&lt;Metrics&gt;")</f>
      </c>
      <c r="O155" s="1">
        <f>=HYPERLINK("10.175.1.14\MWEB.12\BT\FlameGraph.BT.10.175.1.14.MWEB.12.Newsplus.431.svg", "&lt;FlGraph&gt;")</f>
      </c>
      <c r="P155" s="1">
        <f>=HYPERLINK("10.175.1.14\MWEB.12\BT\FlameChart.BT.10.175.1.14.MWEB.12.Newsplus.431.svg", "&lt;FlChart&gt;")</f>
      </c>
      <c r="Q155" s="0" t="s">
        <v>101</v>
      </c>
      <c r="R155" s="0" t="s">
        <v>145</v>
      </c>
      <c r="S155" s="0" t="s">
        <v>173</v>
      </c>
      <c r="T155" s="0" t="s">
        <v>1254</v>
      </c>
    </row>
    <row r="156">
      <c r="A156" s="0" t="s">
        <v>28</v>
      </c>
      <c r="B156" s="0" t="s">
        <v>30</v>
      </c>
      <c r="C156" s="0" t="s">
        <v>174</v>
      </c>
      <c r="D156" s="0" t="s">
        <v>1255</v>
      </c>
      <c r="E156" s="0" t="s">
        <v>1255</v>
      </c>
      <c r="F156" s="0" t="b">
        <v>0</v>
      </c>
      <c r="G156" s="0" t="s">
        <v>976</v>
      </c>
      <c r="H156" s="0" t="b">
        <v>0</v>
      </c>
      <c r="I156" s="0" t="s">
        <v>114</v>
      </c>
      <c r="J156" s="0">
        <v>12</v>
      </c>
      <c r="K156" s="0">
        <v>43</v>
      </c>
      <c r="L156" s="0">
        <v>426</v>
      </c>
      <c r="M156" s="1">
        <f>=HYPERLINK("10.175.1.14\MWEB.12\BT\EntityDetails.10.175.1.14.MWEB.12.-bea_wls_int.426.xlsx", "&lt;Detail&gt;")</f>
      </c>
      <c r="N156" s="1">
        <f>=HYPERLINK("10.175.1.14\MWEB.12\BT\MetricGraphs.BT.10.175.1.14.MWEB.12.xlsx", "&lt;Metrics&gt;")</f>
      </c>
      <c r="O156" s="1">
        <f>=HYPERLINK("10.175.1.14\MWEB.12\BT\FlameGraph.BT.10.175.1.14.MWEB.12.-bea_wls_int.426.svg", "&lt;FlGraph&gt;")</f>
      </c>
      <c r="P156" s="1">
        <f>=HYPERLINK("10.175.1.14\MWEB.12\BT\FlameChart.BT.10.175.1.14.MWEB.12.-bea_wls_int.426.svg", "&lt;FlChart&gt;")</f>
      </c>
      <c r="Q156" s="0" t="s">
        <v>101</v>
      </c>
      <c r="R156" s="0" t="s">
        <v>145</v>
      </c>
      <c r="S156" s="0" t="s">
        <v>175</v>
      </c>
      <c r="T156" s="0" t="s">
        <v>1256</v>
      </c>
    </row>
    <row r="157">
      <c r="A157" s="0" t="s">
        <v>28</v>
      </c>
      <c r="B157" s="0" t="s">
        <v>30</v>
      </c>
      <c r="C157" s="0" t="s">
        <v>174</v>
      </c>
      <c r="D157" s="0" t="s">
        <v>1022</v>
      </c>
      <c r="E157" s="0" t="s">
        <v>1022</v>
      </c>
      <c r="F157" s="0" t="b">
        <v>0</v>
      </c>
      <c r="G157" s="0" t="s">
        <v>976</v>
      </c>
      <c r="H157" s="0" t="b">
        <v>0</v>
      </c>
      <c r="I157" s="0" t="s">
        <v>114</v>
      </c>
      <c r="J157" s="0">
        <v>12</v>
      </c>
      <c r="K157" s="0">
        <v>43</v>
      </c>
      <c r="L157" s="0">
        <v>100</v>
      </c>
      <c r="M157" s="1">
        <f>=HYPERLINK("10.175.1.14\MWEB.12\BT\EntityDetails.10.175.1.14.MWEB.12.-IPJSETTLEME.100.xlsx", "&lt;Detail&gt;")</f>
      </c>
      <c r="N157" s="1">
        <f>=HYPERLINK("10.175.1.14\MWEB.12\BT\MetricGraphs.BT.10.175.1.14.MWEB.12.xlsx", "&lt;Metrics&gt;")</f>
      </c>
      <c r="O157" s="1">
        <f>=HYPERLINK("10.175.1.14\MWEB.12\BT\FlameGraph.BT.10.175.1.14.MWEB.12.-IPJSETTLEME.100.svg", "&lt;FlGraph&gt;")</f>
      </c>
      <c r="P157" s="1">
        <f>=HYPERLINK("10.175.1.14\MWEB.12\BT\FlameChart.BT.10.175.1.14.MWEB.12.-IPJSETTLEME.100.svg", "&lt;FlChart&gt;")</f>
      </c>
      <c r="Q157" s="0" t="s">
        <v>101</v>
      </c>
      <c r="R157" s="0" t="s">
        <v>145</v>
      </c>
      <c r="S157" s="0" t="s">
        <v>175</v>
      </c>
      <c r="T157" s="0" t="s">
        <v>1257</v>
      </c>
    </row>
    <row r="158">
      <c r="A158" s="0" t="s">
        <v>28</v>
      </c>
      <c r="B158" s="0" t="s">
        <v>30</v>
      </c>
      <c r="C158" s="0" t="s">
        <v>174</v>
      </c>
      <c r="D158" s="0" t="s">
        <v>1030</v>
      </c>
      <c r="E158" s="0" t="s">
        <v>1030</v>
      </c>
      <c r="F158" s="0" t="b">
        <v>0</v>
      </c>
      <c r="G158" s="0" t="s">
        <v>1031</v>
      </c>
      <c r="H158" s="0" t="b">
        <v>0</v>
      </c>
      <c r="I158" s="0" t="s">
        <v>114</v>
      </c>
      <c r="J158" s="0">
        <v>12</v>
      </c>
      <c r="K158" s="0">
        <v>43</v>
      </c>
      <c r="L158" s="0">
        <v>582</v>
      </c>
      <c r="M158" s="1">
        <f>=HYPERLINK("10.175.1.14\MWEB.12\BT\EntityDetails.10.175.1.14.MWEB.12._APPDYNAMICS.582.xlsx", "&lt;Detail&gt;")</f>
      </c>
      <c r="N158" s="1">
        <f>=HYPERLINK("10.175.1.14\MWEB.12\BT\MetricGraphs.BT.10.175.1.14.MWEB.12.xlsx", "&lt;Metrics&gt;")</f>
      </c>
      <c r="O158" s="1">
        <f>=HYPERLINK("10.175.1.14\MWEB.12\BT\FlameGraph.BT.10.175.1.14.MWEB.12._APPDYNAMICS.582.svg", "&lt;FlGraph&gt;")</f>
      </c>
      <c r="P158" s="1">
        <f>=HYPERLINK("10.175.1.14\MWEB.12\BT\FlameChart.BT.10.175.1.14.MWEB.12._APPDYNAMICS.582.svg", "&lt;FlChart&gt;")</f>
      </c>
      <c r="Q158" s="0" t="s">
        <v>101</v>
      </c>
      <c r="R158" s="0" t="s">
        <v>145</v>
      </c>
      <c r="S158" s="0" t="s">
        <v>175</v>
      </c>
      <c r="T158" s="0" t="s">
        <v>1258</v>
      </c>
    </row>
    <row r="159">
      <c r="A159" s="0" t="s">
        <v>28</v>
      </c>
      <c r="B159" s="0" t="s">
        <v>30</v>
      </c>
      <c r="C159" s="0" t="s">
        <v>174</v>
      </c>
      <c r="D159" s="0" t="s">
        <v>1259</v>
      </c>
      <c r="E159" s="0" t="s">
        <v>1259</v>
      </c>
      <c r="F159" s="0" t="b">
        <v>0</v>
      </c>
      <c r="G159" s="0" t="s">
        <v>976</v>
      </c>
      <c r="H159" s="0" t="b">
        <v>0</v>
      </c>
      <c r="I159" s="0" t="s">
        <v>114</v>
      </c>
      <c r="J159" s="0">
        <v>12</v>
      </c>
      <c r="K159" s="0">
        <v>43</v>
      </c>
      <c r="L159" s="0">
        <v>483</v>
      </c>
      <c r="M159" s="1">
        <f>=HYPERLINK("10.175.1.14\MWEB.12\BT\EntityDetails.10.175.1.14.MWEB.12.FEP通信.483.xlsx", "&lt;Detail&gt;")</f>
      </c>
      <c r="N159" s="1">
        <f>=HYPERLINK("10.175.1.14\MWEB.12\BT\MetricGraphs.BT.10.175.1.14.MWEB.12.xlsx", "&lt;Metrics&gt;")</f>
      </c>
      <c r="O159" s="1">
        <f>=HYPERLINK("10.175.1.14\MWEB.12\BT\FlameGraph.BT.10.175.1.14.MWEB.12.FEP通信.483.svg", "&lt;FlGraph&gt;")</f>
      </c>
      <c r="P159" s="1">
        <f>=HYPERLINK("10.175.1.14\MWEB.12\BT\FlameChart.BT.10.175.1.14.MWEB.12.FEP通信.483.svg", "&lt;FlChart&gt;")</f>
      </c>
      <c r="Q159" s="0" t="s">
        <v>101</v>
      </c>
      <c r="R159" s="0" t="s">
        <v>145</v>
      </c>
      <c r="S159" s="0" t="s">
        <v>175</v>
      </c>
      <c r="T159" s="0" t="s">
        <v>1260</v>
      </c>
    </row>
    <row r="160">
      <c r="A160" s="0" t="s">
        <v>28</v>
      </c>
      <c r="B160" s="0" t="s">
        <v>30</v>
      </c>
      <c r="C160" s="0" t="s">
        <v>176</v>
      </c>
      <c r="D160" s="0" t="s">
        <v>1261</v>
      </c>
      <c r="E160" s="0" t="s">
        <v>1261</v>
      </c>
      <c r="F160" s="0" t="b">
        <v>0</v>
      </c>
      <c r="G160" s="0" t="s">
        <v>976</v>
      </c>
      <c r="H160" s="0" t="b">
        <v>0</v>
      </c>
      <c r="I160" s="0" t="s">
        <v>114</v>
      </c>
      <c r="J160" s="0">
        <v>12</v>
      </c>
      <c r="K160" s="0">
        <v>34</v>
      </c>
      <c r="L160" s="0">
        <v>228</v>
      </c>
      <c r="M160" s="1">
        <f>=HYPERLINK("10.175.1.14\MWEB.12\BT\EntityDetails.10.175.1.14.MWEB.12.-ondelay-Hea.228.xlsx", "&lt;Detail&gt;")</f>
      </c>
      <c r="N160" s="1">
        <f>=HYPERLINK("10.175.1.14\MWEB.12\BT\MetricGraphs.BT.10.175.1.14.MWEB.12.xlsx", "&lt;Metrics&gt;")</f>
      </c>
      <c r="O160" s="1">
        <f>=HYPERLINK("10.175.1.14\MWEB.12\BT\FlameGraph.BT.10.175.1.14.MWEB.12.-ondelay-Hea.228.svg", "&lt;FlGraph&gt;")</f>
      </c>
      <c r="P160" s="1">
        <f>=HYPERLINK("10.175.1.14\MWEB.12\BT\FlameChart.BT.10.175.1.14.MWEB.12.-ondelay-Hea.228.svg", "&lt;FlChart&gt;")</f>
      </c>
      <c r="Q160" s="0" t="s">
        <v>101</v>
      </c>
      <c r="R160" s="0" t="s">
        <v>145</v>
      </c>
      <c r="S160" s="0" t="s">
        <v>177</v>
      </c>
      <c r="T160" s="0" t="s">
        <v>1262</v>
      </c>
    </row>
    <row r="161">
      <c r="A161" s="0" t="s">
        <v>28</v>
      </c>
      <c r="B161" s="0" t="s">
        <v>30</v>
      </c>
      <c r="C161" s="0" t="s">
        <v>176</v>
      </c>
      <c r="D161" s="0" t="s">
        <v>1101</v>
      </c>
      <c r="E161" s="0" t="s">
        <v>1101</v>
      </c>
      <c r="F161" s="0" t="b">
        <v>0</v>
      </c>
      <c r="G161" s="0" t="s">
        <v>976</v>
      </c>
      <c r="H161" s="0" t="b">
        <v>0</v>
      </c>
      <c r="I161" s="0" t="s">
        <v>114</v>
      </c>
      <c r="J161" s="0">
        <v>12</v>
      </c>
      <c r="K161" s="0">
        <v>34</v>
      </c>
      <c r="L161" s="0">
        <v>185</v>
      </c>
      <c r="M161" s="1">
        <f>=HYPERLINK("10.175.1.14\MWEB.12\BT\EntityDetails.10.175.1.14.MWEB.12.-ondelay-odc.185.xlsx", "&lt;Detail&gt;")</f>
      </c>
      <c r="N161" s="1">
        <f>=HYPERLINK("10.175.1.14\MWEB.12\BT\MetricGraphs.BT.10.175.1.14.MWEB.12.xlsx", "&lt;Metrics&gt;")</f>
      </c>
      <c r="O161" s="1">
        <f>=HYPERLINK("10.175.1.14\MWEB.12\BT\FlameGraph.BT.10.175.1.14.MWEB.12.-ondelay-odc.185.svg", "&lt;FlGraph&gt;")</f>
      </c>
      <c r="P161" s="1">
        <f>=HYPERLINK("10.175.1.14\MWEB.12\BT\FlameChart.BT.10.175.1.14.MWEB.12.-ondelay-odc.185.svg", "&lt;FlChart&gt;")</f>
      </c>
      <c r="Q161" s="0" t="s">
        <v>101</v>
      </c>
      <c r="R161" s="0" t="s">
        <v>145</v>
      </c>
      <c r="S161" s="0" t="s">
        <v>177</v>
      </c>
      <c r="T161" s="0" t="s">
        <v>1263</v>
      </c>
    </row>
    <row r="162">
      <c r="A162" s="0" t="s">
        <v>28</v>
      </c>
      <c r="B162" s="0" t="s">
        <v>30</v>
      </c>
      <c r="C162" s="0" t="s">
        <v>178</v>
      </c>
      <c r="D162" s="0" t="s">
        <v>984</v>
      </c>
      <c r="E162" s="0" t="s">
        <v>984</v>
      </c>
      <c r="F162" s="0" t="b">
        <v>0</v>
      </c>
      <c r="G162" s="0" t="s">
        <v>976</v>
      </c>
      <c r="H162" s="0" t="b">
        <v>0</v>
      </c>
      <c r="I162" s="0" t="s">
        <v>114</v>
      </c>
      <c r="J162" s="0">
        <v>12</v>
      </c>
      <c r="K162" s="0">
        <v>49</v>
      </c>
      <c r="L162" s="0">
        <v>702</v>
      </c>
      <c r="M162" s="1">
        <f>=HYPERLINK("10.175.1.14\MWEB.12\BT\EntityDetails.10.175.1.14.MWEB.12.-HealthMonit.702.xlsx", "&lt;Detail&gt;")</f>
      </c>
      <c r="N162" s="1">
        <f>=HYPERLINK("10.175.1.14\MWEB.12\BT\MetricGraphs.BT.10.175.1.14.MWEB.12.xlsx", "&lt;Metrics&gt;")</f>
      </c>
      <c r="O162" s="1">
        <f>=HYPERLINK("10.175.1.14\MWEB.12\BT\FlameGraph.BT.10.175.1.14.MWEB.12.-HealthMonit.702.svg", "&lt;FlGraph&gt;")</f>
      </c>
      <c r="P162" s="1">
        <f>=HYPERLINK("10.175.1.14\MWEB.12\BT\FlameChart.BT.10.175.1.14.MWEB.12.-HealthMonit.702.svg", "&lt;FlChart&gt;")</f>
      </c>
      <c r="Q162" s="0" t="s">
        <v>101</v>
      </c>
      <c r="R162" s="0" t="s">
        <v>145</v>
      </c>
      <c r="S162" s="0" t="s">
        <v>179</v>
      </c>
      <c r="T162" s="0" t="s">
        <v>1264</v>
      </c>
    </row>
    <row r="163">
      <c r="A163" s="0" t="s">
        <v>28</v>
      </c>
      <c r="B163" s="0" t="s">
        <v>30</v>
      </c>
      <c r="C163" s="0" t="s">
        <v>178</v>
      </c>
      <c r="D163" s="0" t="s">
        <v>1265</v>
      </c>
      <c r="E163" s="0" t="s">
        <v>1265</v>
      </c>
      <c r="F163" s="0" t="b">
        <v>0</v>
      </c>
      <c r="G163" s="0" t="s">
        <v>976</v>
      </c>
      <c r="H163" s="0" t="b">
        <v>0</v>
      </c>
      <c r="I163" s="0" t="s">
        <v>114</v>
      </c>
      <c r="J163" s="0">
        <v>12</v>
      </c>
      <c r="K163" s="0">
        <v>49</v>
      </c>
      <c r="L163" s="0">
        <v>772</v>
      </c>
      <c r="M163" s="1">
        <f>=HYPERLINK("10.175.1.14\MWEB.12\BT\EntityDetails.10.175.1.14.MWEB.12.-net-.772.xlsx", "&lt;Detail&gt;")</f>
      </c>
      <c r="N163" s="1">
        <f>=HYPERLINK("10.175.1.14\MWEB.12\BT\MetricGraphs.BT.10.175.1.14.MWEB.12.xlsx", "&lt;Metrics&gt;")</f>
      </c>
      <c r="O163" s="1">
        <f>=HYPERLINK("10.175.1.14\MWEB.12\BT\FlameGraph.BT.10.175.1.14.MWEB.12.-net-.772.svg", "&lt;FlGraph&gt;")</f>
      </c>
      <c r="P163" s="1">
        <f>=HYPERLINK("10.175.1.14\MWEB.12\BT\FlameChart.BT.10.175.1.14.MWEB.12.-net-.772.svg", "&lt;FlChart&gt;")</f>
      </c>
      <c r="Q163" s="0" t="s">
        <v>101</v>
      </c>
      <c r="R163" s="0" t="s">
        <v>145</v>
      </c>
      <c r="S163" s="0" t="s">
        <v>179</v>
      </c>
      <c r="T163" s="0" t="s">
        <v>1266</v>
      </c>
    </row>
    <row r="164">
      <c r="A164" s="0" t="s">
        <v>28</v>
      </c>
      <c r="B164" s="0" t="s">
        <v>30</v>
      </c>
      <c r="C164" s="0" t="s">
        <v>178</v>
      </c>
      <c r="D164" s="0" t="s">
        <v>1028</v>
      </c>
      <c r="E164" s="0" t="s">
        <v>1028</v>
      </c>
      <c r="F164" s="0" t="b">
        <v>0</v>
      </c>
      <c r="G164" s="0" t="s">
        <v>976</v>
      </c>
      <c r="H164" s="0" t="b">
        <v>0</v>
      </c>
      <c r="I164" s="0" t="s">
        <v>114</v>
      </c>
      <c r="J164" s="0">
        <v>12</v>
      </c>
      <c r="K164" s="0">
        <v>49</v>
      </c>
      <c r="L164" s="0">
        <v>793</v>
      </c>
      <c r="M164" s="1">
        <f>=HYPERLINK("10.175.1.14\MWEB.12\BT\EntityDetails.10.175.1.14.MWEB.12.-WEB-INF-jsp.793.xlsx", "&lt;Detail&gt;")</f>
      </c>
      <c r="N164" s="1">
        <f>=HYPERLINK("10.175.1.14\MWEB.12\BT\MetricGraphs.BT.10.175.1.14.MWEB.12.xlsx", "&lt;Metrics&gt;")</f>
      </c>
      <c r="O164" s="1">
        <f>=HYPERLINK("10.175.1.14\MWEB.12\BT\FlameGraph.BT.10.175.1.14.MWEB.12.-WEB-INF-jsp.793.svg", "&lt;FlGraph&gt;")</f>
      </c>
      <c r="P164" s="1">
        <f>=HYPERLINK("10.175.1.14\MWEB.12\BT\FlameChart.BT.10.175.1.14.MWEB.12.-WEB-INF-jsp.793.svg", "&lt;FlChart&gt;")</f>
      </c>
      <c r="Q164" s="0" t="s">
        <v>101</v>
      </c>
      <c r="R164" s="0" t="s">
        <v>145</v>
      </c>
      <c r="S164" s="0" t="s">
        <v>179</v>
      </c>
      <c r="T164" s="0" t="s">
        <v>1267</v>
      </c>
    </row>
    <row r="165">
      <c r="A165" s="0" t="s">
        <v>28</v>
      </c>
      <c r="B165" s="0" t="s">
        <v>30</v>
      </c>
      <c r="C165" s="0" t="s">
        <v>178</v>
      </c>
      <c r="D165" s="0" t="s">
        <v>1030</v>
      </c>
      <c r="E165" s="0" t="s">
        <v>1030</v>
      </c>
      <c r="F165" s="0" t="b">
        <v>0</v>
      </c>
      <c r="G165" s="0" t="s">
        <v>1031</v>
      </c>
      <c r="H165" s="0" t="b">
        <v>0</v>
      </c>
      <c r="I165" s="0" t="s">
        <v>114</v>
      </c>
      <c r="J165" s="0">
        <v>12</v>
      </c>
      <c r="K165" s="0">
        <v>49</v>
      </c>
      <c r="L165" s="0">
        <v>620</v>
      </c>
      <c r="M165" s="1">
        <f>=HYPERLINK("10.175.1.14\MWEB.12\BT\EntityDetails.10.175.1.14.MWEB.12._APPDYNAMICS.620.xlsx", "&lt;Detail&gt;")</f>
      </c>
      <c r="N165" s="1">
        <f>=HYPERLINK("10.175.1.14\MWEB.12\BT\MetricGraphs.BT.10.175.1.14.MWEB.12.xlsx", "&lt;Metrics&gt;")</f>
      </c>
      <c r="O165" s="1">
        <f>=HYPERLINK("10.175.1.14\MWEB.12\BT\FlameGraph.BT.10.175.1.14.MWEB.12._APPDYNAMICS.620.svg", "&lt;FlGraph&gt;")</f>
      </c>
      <c r="P165" s="1">
        <f>=HYPERLINK("10.175.1.14\MWEB.12\BT\FlameChart.BT.10.175.1.14.MWEB.12._APPDYNAMICS.620.svg", "&lt;FlChart&gt;")</f>
      </c>
      <c r="Q165" s="0" t="s">
        <v>101</v>
      </c>
      <c r="R165" s="0" t="s">
        <v>145</v>
      </c>
      <c r="S165" s="0" t="s">
        <v>179</v>
      </c>
      <c r="T165" s="0" t="s">
        <v>1268</v>
      </c>
    </row>
    <row r="166">
      <c r="A166" s="0" t="s">
        <v>28</v>
      </c>
      <c r="B166" s="0" t="s">
        <v>30</v>
      </c>
      <c r="C166" s="0" t="s">
        <v>180</v>
      </c>
      <c r="D166" s="0" t="s">
        <v>1269</v>
      </c>
      <c r="E166" s="0" t="s">
        <v>1269</v>
      </c>
      <c r="F166" s="0" t="b">
        <v>0</v>
      </c>
      <c r="G166" s="0" t="s">
        <v>1270</v>
      </c>
      <c r="H166" s="0" t="b">
        <v>0</v>
      </c>
      <c r="I166" s="0" t="s">
        <v>114</v>
      </c>
      <c r="J166" s="0">
        <v>12</v>
      </c>
      <c r="K166" s="0">
        <v>50</v>
      </c>
      <c r="L166" s="0">
        <v>778</v>
      </c>
      <c r="M166" s="1">
        <f>=HYPERLINK("10.175.1.14\MWEB.12\BT\EntityDetails.10.175.1.14.MWEB.12.-.POST.778.xlsx", "&lt;Detail&gt;")</f>
      </c>
      <c r="N166" s="1">
        <f>=HYPERLINK("10.175.1.14\MWEB.12\BT\MetricGraphs.BT.10.175.1.14.MWEB.12.xlsx", "&lt;Metrics&gt;")</f>
      </c>
      <c r="O166" s="1">
        <f>=HYPERLINK("10.175.1.14\MWEB.12\BT\FlameGraph.BT.10.175.1.14.MWEB.12.-.POST.778.svg", "&lt;FlGraph&gt;")</f>
      </c>
      <c r="P166" s="1">
        <f>=HYPERLINK("10.175.1.14\MWEB.12\BT\FlameChart.BT.10.175.1.14.MWEB.12.-.POST.778.svg", "&lt;FlChart&gt;")</f>
      </c>
      <c r="Q166" s="0" t="s">
        <v>101</v>
      </c>
      <c r="R166" s="0" t="s">
        <v>145</v>
      </c>
      <c r="S166" s="0" t="s">
        <v>181</v>
      </c>
      <c r="T166" s="0" t="s">
        <v>1271</v>
      </c>
    </row>
    <row r="167">
      <c r="A167" s="0" t="s">
        <v>28</v>
      </c>
      <c r="B167" s="0" t="s">
        <v>30</v>
      </c>
      <c r="C167" s="0" t="s">
        <v>180</v>
      </c>
      <c r="D167" s="0" t="s">
        <v>984</v>
      </c>
      <c r="E167" s="0" t="s">
        <v>984</v>
      </c>
      <c r="F167" s="0" t="b">
        <v>0</v>
      </c>
      <c r="G167" s="0" t="s">
        <v>976</v>
      </c>
      <c r="H167" s="0" t="b">
        <v>0</v>
      </c>
      <c r="I167" s="0" t="s">
        <v>114</v>
      </c>
      <c r="J167" s="0">
        <v>12</v>
      </c>
      <c r="K167" s="0">
        <v>50</v>
      </c>
      <c r="L167" s="0">
        <v>700</v>
      </c>
      <c r="M167" s="1">
        <f>=HYPERLINK("10.175.1.14\MWEB.12\BT\EntityDetails.10.175.1.14.MWEB.12.-HealthMonit.700.xlsx", "&lt;Detail&gt;")</f>
      </c>
      <c r="N167" s="1">
        <f>=HYPERLINK("10.175.1.14\MWEB.12\BT\MetricGraphs.BT.10.175.1.14.MWEB.12.xlsx", "&lt;Metrics&gt;")</f>
      </c>
      <c r="O167" s="1">
        <f>=HYPERLINK("10.175.1.14\MWEB.12\BT\FlameGraph.BT.10.175.1.14.MWEB.12.-HealthMonit.700.svg", "&lt;FlGraph&gt;")</f>
      </c>
      <c r="P167" s="1">
        <f>=HYPERLINK("10.175.1.14\MWEB.12\BT\FlameChart.BT.10.175.1.14.MWEB.12.-HealthMonit.700.svg", "&lt;FlChart&gt;")</f>
      </c>
      <c r="Q167" s="0" t="s">
        <v>101</v>
      </c>
      <c r="R167" s="0" t="s">
        <v>145</v>
      </c>
      <c r="S167" s="0" t="s">
        <v>181</v>
      </c>
      <c r="T167" s="0" t="s">
        <v>1272</v>
      </c>
    </row>
    <row r="168">
      <c r="A168" s="0" t="s">
        <v>28</v>
      </c>
      <c r="B168" s="0" t="s">
        <v>30</v>
      </c>
      <c r="C168" s="0" t="s">
        <v>180</v>
      </c>
      <c r="D168" s="0" t="s">
        <v>1273</v>
      </c>
      <c r="E168" s="0" t="s">
        <v>1273</v>
      </c>
      <c r="F168" s="0" t="b">
        <v>0</v>
      </c>
      <c r="G168" s="0" t="s">
        <v>976</v>
      </c>
      <c r="H168" s="0" t="b">
        <v>0</v>
      </c>
      <c r="I168" s="0" t="s">
        <v>114</v>
      </c>
      <c r="J168" s="0">
        <v>12</v>
      </c>
      <c r="K168" s="0">
        <v>50</v>
      </c>
      <c r="L168" s="0">
        <v>776</v>
      </c>
      <c r="M168" s="1">
        <f>=HYPERLINK("10.175.1.14\MWEB.12\BT\EntityDetails.10.175.1.14.MWEB.12.-modules-.776.xlsx", "&lt;Detail&gt;")</f>
      </c>
      <c r="N168" s="1">
        <f>=HYPERLINK("10.175.1.14\MWEB.12\BT\MetricGraphs.BT.10.175.1.14.MWEB.12.xlsx", "&lt;Metrics&gt;")</f>
      </c>
      <c r="O168" s="1">
        <f>=HYPERLINK("10.175.1.14\MWEB.12\BT\FlameGraph.BT.10.175.1.14.MWEB.12.-modules-.776.svg", "&lt;FlGraph&gt;")</f>
      </c>
      <c r="P168" s="1">
        <f>=HYPERLINK("10.175.1.14\MWEB.12\BT\FlameChart.BT.10.175.1.14.MWEB.12.-modules-.776.svg", "&lt;FlChart&gt;")</f>
      </c>
      <c r="Q168" s="0" t="s">
        <v>101</v>
      </c>
      <c r="R168" s="0" t="s">
        <v>145</v>
      </c>
      <c r="S168" s="0" t="s">
        <v>181</v>
      </c>
      <c r="T168" s="0" t="s">
        <v>1274</v>
      </c>
    </row>
    <row r="169">
      <c r="A169" s="0" t="s">
        <v>28</v>
      </c>
      <c r="B169" s="0" t="s">
        <v>30</v>
      </c>
      <c r="C169" s="0" t="s">
        <v>180</v>
      </c>
      <c r="D169" s="0" t="s">
        <v>1265</v>
      </c>
      <c r="E169" s="0" t="s">
        <v>1265</v>
      </c>
      <c r="F169" s="0" t="b">
        <v>0</v>
      </c>
      <c r="G169" s="0" t="s">
        <v>976</v>
      </c>
      <c r="H169" s="0" t="b">
        <v>0</v>
      </c>
      <c r="I169" s="0" t="s">
        <v>114</v>
      </c>
      <c r="J169" s="0">
        <v>12</v>
      </c>
      <c r="K169" s="0">
        <v>50</v>
      </c>
      <c r="L169" s="0">
        <v>783</v>
      </c>
      <c r="M169" s="1">
        <f>=HYPERLINK("10.175.1.14\MWEB.12\BT\EntityDetails.10.175.1.14.MWEB.12.-net-.783.xlsx", "&lt;Detail&gt;")</f>
      </c>
      <c r="N169" s="1">
        <f>=HYPERLINK("10.175.1.14\MWEB.12\BT\MetricGraphs.BT.10.175.1.14.MWEB.12.xlsx", "&lt;Metrics&gt;")</f>
      </c>
      <c r="O169" s="1">
        <f>=HYPERLINK("10.175.1.14\MWEB.12\BT\FlameGraph.BT.10.175.1.14.MWEB.12.-net-.783.svg", "&lt;FlGraph&gt;")</f>
      </c>
      <c r="P169" s="1">
        <f>=HYPERLINK("10.175.1.14\MWEB.12\BT\FlameChart.BT.10.175.1.14.MWEB.12.-net-.783.svg", "&lt;FlChart&gt;")</f>
      </c>
      <c r="Q169" s="0" t="s">
        <v>101</v>
      </c>
      <c r="R169" s="0" t="s">
        <v>145</v>
      </c>
      <c r="S169" s="0" t="s">
        <v>181</v>
      </c>
      <c r="T169" s="0" t="s">
        <v>1275</v>
      </c>
    </row>
    <row r="170">
      <c r="A170" s="0" t="s">
        <v>28</v>
      </c>
      <c r="B170" s="0" t="s">
        <v>30</v>
      </c>
      <c r="C170" s="0" t="s">
        <v>180</v>
      </c>
      <c r="D170" s="0" t="s">
        <v>1276</v>
      </c>
      <c r="E170" s="0" t="s">
        <v>1276</v>
      </c>
      <c r="F170" s="0" t="b">
        <v>0</v>
      </c>
      <c r="G170" s="0" t="s">
        <v>976</v>
      </c>
      <c r="H170" s="0" t="b">
        <v>0</v>
      </c>
      <c r="I170" s="0" t="s">
        <v>114</v>
      </c>
      <c r="J170" s="0">
        <v>12</v>
      </c>
      <c r="K170" s="0">
        <v>50</v>
      </c>
      <c r="L170" s="0">
        <v>779</v>
      </c>
      <c r="M170" s="1">
        <f>=HYPERLINK("10.175.1.14\MWEB.12\BT\EntityDetails.10.175.1.14.MWEB.12.-wins-WEB-IN.779.xlsx", "&lt;Detail&gt;")</f>
      </c>
      <c r="N170" s="1">
        <f>=HYPERLINK("10.175.1.14\MWEB.12\BT\MetricGraphs.BT.10.175.1.14.MWEB.12.xlsx", "&lt;Metrics&gt;")</f>
      </c>
      <c r="O170" s="1">
        <f>=HYPERLINK("10.175.1.14\MWEB.12\BT\FlameGraph.BT.10.175.1.14.MWEB.12.-wins-WEB-IN.779.svg", "&lt;FlGraph&gt;")</f>
      </c>
      <c r="P170" s="1">
        <f>=HYPERLINK("10.175.1.14\MWEB.12\BT\FlameChart.BT.10.175.1.14.MWEB.12.-wins-WEB-IN.779.svg", "&lt;FlChart&gt;")</f>
      </c>
      <c r="Q170" s="0" t="s">
        <v>101</v>
      </c>
      <c r="R170" s="0" t="s">
        <v>145</v>
      </c>
      <c r="S170" s="0" t="s">
        <v>181</v>
      </c>
      <c r="T170" s="0" t="s">
        <v>1277</v>
      </c>
    </row>
    <row r="171">
      <c r="A171" s="0" t="s">
        <v>28</v>
      </c>
      <c r="B171" s="0" t="s">
        <v>30</v>
      </c>
      <c r="C171" s="0" t="s">
        <v>180</v>
      </c>
      <c r="D171" s="0" t="s">
        <v>1030</v>
      </c>
      <c r="E171" s="0" t="s">
        <v>1030</v>
      </c>
      <c r="F171" s="0" t="b">
        <v>0</v>
      </c>
      <c r="G171" s="0" t="s">
        <v>1031</v>
      </c>
      <c r="H171" s="0" t="b">
        <v>0</v>
      </c>
      <c r="I171" s="0" t="s">
        <v>114</v>
      </c>
      <c r="J171" s="0">
        <v>12</v>
      </c>
      <c r="K171" s="0">
        <v>50</v>
      </c>
      <c r="L171" s="0">
        <v>621</v>
      </c>
      <c r="M171" s="1">
        <f>=HYPERLINK("10.175.1.14\MWEB.12\BT\EntityDetails.10.175.1.14.MWEB.12._APPDYNAMICS.621.xlsx", "&lt;Detail&gt;")</f>
      </c>
      <c r="N171" s="1">
        <f>=HYPERLINK("10.175.1.14\MWEB.12\BT\MetricGraphs.BT.10.175.1.14.MWEB.12.xlsx", "&lt;Metrics&gt;")</f>
      </c>
      <c r="O171" s="1">
        <f>=HYPERLINK("10.175.1.14\MWEB.12\BT\FlameGraph.BT.10.175.1.14.MWEB.12._APPDYNAMICS.621.svg", "&lt;FlGraph&gt;")</f>
      </c>
      <c r="P171" s="1">
        <f>=HYPERLINK("10.175.1.14\MWEB.12\BT\FlameChart.BT.10.175.1.14.MWEB.12._APPDYNAMICS.621.svg", "&lt;FlChart&gt;")</f>
      </c>
      <c r="Q171" s="0" t="s">
        <v>101</v>
      </c>
      <c r="R171" s="0" t="s">
        <v>145</v>
      </c>
      <c r="S171" s="0" t="s">
        <v>181</v>
      </c>
      <c r="T171" s="0" t="s">
        <v>1278</v>
      </c>
    </row>
    <row r="172">
      <c r="A172" s="0" t="s">
        <v>28</v>
      </c>
      <c r="B172" s="0" t="s">
        <v>30</v>
      </c>
      <c r="C172" s="0" t="s">
        <v>182</v>
      </c>
      <c r="D172" s="0" t="s">
        <v>1080</v>
      </c>
      <c r="E172" s="0" t="s">
        <v>1080</v>
      </c>
      <c r="F172" s="0" t="b">
        <v>0</v>
      </c>
      <c r="G172" s="0" t="s">
        <v>976</v>
      </c>
      <c r="H172" s="0" t="b">
        <v>0</v>
      </c>
      <c r="I172" s="0" t="s">
        <v>114</v>
      </c>
      <c r="J172" s="0">
        <v>12</v>
      </c>
      <c r="K172" s="0">
        <v>52</v>
      </c>
      <c r="L172" s="0">
        <v>789</v>
      </c>
      <c r="M172" s="1">
        <f>=HYPERLINK("10.175.1.14\MWEB.12\BT\EntityDetails.10.175.1.14.MWEB.12.-connect-ind.789.xlsx", "&lt;Detail&gt;")</f>
      </c>
      <c r="N172" s="1">
        <f>=HYPERLINK("10.175.1.14\MWEB.12\BT\MetricGraphs.BT.10.175.1.14.MWEB.12.xlsx", "&lt;Metrics&gt;")</f>
      </c>
      <c r="O172" s="1">
        <f>=HYPERLINK("10.175.1.14\MWEB.12\BT\FlameGraph.BT.10.175.1.14.MWEB.12.-connect-ind.789.svg", "&lt;FlGraph&gt;")</f>
      </c>
      <c r="P172" s="1">
        <f>=HYPERLINK("10.175.1.14\MWEB.12\BT\FlameChart.BT.10.175.1.14.MWEB.12.-connect-ind.789.svg", "&lt;FlChart&gt;")</f>
      </c>
      <c r="Q172" s="0" t="s">
        <v>101</v>
      </c>
      <c r="R172" s="0" t="s">
        <v>145</v>
      </c>
      <c r="S172" s="0" t="s">
        <v>183</v>
      </c>
      <c r="T172" s="0" t="s">
        <v>1279</v>
      </c>
    </row>
    <row r="173">
      <c r="A173" s="0" t="s">
        <v>28</v>
      </c>
      <c r="B173" s="0" t="s">
        <v>30</v>
      </c>
      <c r="C173" s="0" t="s">
        <v>182</v>
      </c>
      <c r="D173" s="0" t="s">
        <v>1030</v>
      </c>
      <c r="E173" s="0" t="s">
        <v>1030</v>
      </c>
      <c r="F173" s="0" t="b">
        <v>0</v>
      </c>
      <c r="G173" s="0" t="s">
        <v>1031</v>
      </c>
      <c r="H173" s="0" t="b">
        <v>0</v>
      </c>
      <c r="I173" s="0" t="s">
        <v>114</v>
      </c>
      <c r="J173" s="0">
        <v>12</v>
      </c>
      <c r="K173" s="0">
        <v>52</v>
      </c>
      <c r="L173" s="0">
        <v>623</v>
      </c>
      <c r="M173" s="1">
        <f>=HYPERLINK("10.175.1.14\MWEB.12\BT\EntityDetails.10.175.1.14.MWEB.12._APPDYNAMICS.623.xlsx", "&lt;Detail&gt;")</f>
      </c>
      <c r="N173" s="1">
        <f>=HYPERLINK("10.175.1.14\MWEB.12\BT\MetricGraphs.BT.10.175.1.14.MWEB.12.xlsx", "&lt;Metrics&gt;")</f>
      </c>
      <c r="O173" s="1">
        <f>=HYPERLINK("10.175.1.14\MWEB.12\BT\FlameGraph.BT.10.175.1.14.MWEB.12._APPDYNAMICS.623.svg", "&lt;FlGraph&gt;")</f>
      </c>
      <c r="P173" s="1">
        <f>=HYPERLINK("10.175.1.14\MWEB.12\BT\FlameChart.BT.10.175.1.14.MWEB.12._APPDYNAMICS.623.svg", "&lt;FlChart&gt;")</f>
      </c>
      <c r="Q173" s="0" t="s">
        <v>101</v>
      </c>
      <c r="R173" s="0" t="s">
        <v>145</v>
      </c>
      <c r="S173" s="0" t="s">
        <v>183</v>
      </c>
      <c r="T173" s="0" t="s">
        <v>1280</v>
      </c>
    </row>
    <row r="174">
      <c r="A174" s="0" t="s">
        <v>28</v>
      </c>
      <c r="B174" s="0" t="s">
        <v>30</v>
      </c>
      <c r="C174" s="0" t="s">
        <v>184</v>
      </c>
      <c r="D174" s="0" t="s">
        <v>984</v>
      </c>
      <c r="E174" s="0" t="s">
        <v>984</v>
      </c>
      <c r="F174" s="0" t="b">
        <v>0</v>
      </c>
      <c r="G174" s="0" t="s">
        <v>976</v>
      </c>
      <c r="H174" s="0" t="b">
        <v>0</v>
      </c>
      <c r="I174" s="0" t="s">
        <v>114</v>
      </c>
      <c r="J174" s="0">
        <v>12</v>
      </c>
      <c r="K174" s="0">
        <v>51</v>
      </c>
      <c r="L174" s="0">
        <v>699</v>
      </c>
      <c r="M174" s="1">
        <f>=HYPERLINK("10.175.1.14\MWEB.12\BT\EntityDetails.10.175.1.14.MWEB.12.-HealthMonit.699.xlsx", "&lt;Detail&gt;")</f>
      </c>
      <c r="N174" s="1">
        <f>=HYPERLINK("10.175.1.14\MWEB.12\BT\MetricGraphs.BT.10.175.1.14.MWEB.12.xlsx", "&lt;Metrics&gt;")</f>
      </c>
      <c r="O174" s="1">
        <f>=HYPERLINK("10.175.1.14\MWEB.12\BT\FlameGraph.BT.10.175.1.14.MWEB.12.-HealthMonit.699.svg", "&lt;FlGraph&gt;")</f>
      </c>
      <c r="P174" s="1">
        <f>=HYPERLINK("10.175.1.14\MWEB.12\BT\FlameChart.BT.10.175.1.14.MWEB.12.-HealthMonit.699.svg", "&lt;FlChart&gt;")</f>
      </c>
      <c r="Q174" s="0" t="s">
        <v>101</v>
      </c>
      <c r="R174" s="0" t="s">
        <v>145</v>
      </c>
      <c r="S174" s="0" t="s">
        <v>185</v>
      </c>
      <c r="T174" s="0" t="s">
        <v>1281</v>
      </c>
    </row>
    <row r="175">
      <c r="A175" s="0" t="s">
        <v>28</v>
      </c>
      <c r="B175" s="0" t="s">
        <v>30</v>
      </c>
      <c r="C175" s="0" t="s">
        <v>184</v>
      </c>
      <c r="D175" s="0" t="s">
        <v>1265</v>
      </c>
      <c r="E175" s="0" t="s">
        <v>1265</v>
      </c>
      <c r="F175" s="0" t="b">
        <v>0</v>
      </c>
      <c r="G175" s="0" t="s">
        <v>976</v>
      </c>
      <c r="H175" s="0" t="b">
        <v>0</v>
      </c>
      <c r="I175" s="0" t="s">
        <v>114</v>
      </c>
      <c r="J175" s="0">
        <v>12</v>
      </c>
      <c r="K175" s="0">
        <v>51</v>
      </c>
      <c r="L175" s="0">
        <v>785</v>
      </c>
      <c r="M175" s="1">
        <f>=HYPERLINK("10.175.1.14\MWEB.12\BT\EntityDetails.10.175.1.14.MWEB.12.-net-.785.xlsx", "&lt;Detail&gt;")</f>
      </c>
      <c r="N175" s="1">
        <f>=HYPERLINK("10.175.1.14\MWEB.12\BT\MetricGraphs.BT.10.175.1.14.MWEB.12.xlsx", "&lt;Metrics&gt;")</f>
      </c>
      <c r="O175" s="1">
        <f>=HYPERLINK("10.175.1.14\MWEB.12\BT\FlameGraph.BT.10.175.1.14.MWEB.12.-net-.785.svg", "&lt;FlGraph&gt;")</f>
      </c>
      <c r="P175" s="1">
        <f>=HYPERLINK("10.175.1.14\MWEB.12\BT\FlameChart.BT.10.175.1.14.MWEB.12.-net-.785.svg", "&lt;FlChart&gt;")</f>
      </c>
      <c r="Q175" s="0" t="s">
        <v>101</v>
      </c>
      <c r="R175" s="0" t="s">
        <v>145</v>
      </c>
      <c r="S175" s="0" t="s">
        <v>185</v>
      </c>
      <c r="T175" s="0" t="s">
        <v>1282</v>
      </c>
    </row>
    <row r="176">
      <c r="A176" s="0" t="s">
        <v>28</v>
      </c>
      <c r="B176" s="0" t="s">
        <v>30</v>
      </c>
      <c r="C176" s="0" t="s">
        <v>184</v>
      </c>
      <c r="D176" s="0" t="s">
        <v>1030</v>
      </c>
      <c r="E176" s="0" t="s">
        <v>1030</v>
      </c>
      <c r="F176" s="0" t="b">
        <v>0</v>
      </c>
      <c r="G176" s="0" t="s">
        <v>1031</v>
      </c>
      <c r="H176" s="0" t="b">
        <v>0</v>
      </c>
      <c r="I176" s="0" t="s">
        <v>114</v>
      </c>
      <c r="J176" s="0">
        <v>12</v>
      </c>
      <c r="K176" s="0">
        <v>51</v>
      </c>
      <c r="L176" s="0">
        <v>622</v>
      </c>
      <c r="M176" s="1">
        <f>=HYPERLINK("10.175.1.14\MWEB.12\BT\EntityDetails.10.175.1.14.MWEB.12._APPDYNAMICS.622.xlsx", "&lt;Detail&gt;")</f>
      </c>
      <c r="N176" s="1">
        <f>=HYPERLINK("10.175.1.14\MWEB.12\BT\MetricGraphs.BT.10.175.1.14.MWEB.12.xlsx", "&lt;Metrics&gt;")</f>
      </c>
      <c r="O176" s="1">
        <f>=HYPERLINK("10.175.1.14\MWEB.12\BT\FlameGraph.BT.10.175.1.14.MWEB.12._APPDYNAMICS.622.svg", "&lt;FlGraph&gt;")</f>
      </c>
      <c r="P176" s="1">
        <f>=HYPERLINK("10.175.1.14\MWEB.12\BT\FlameChart.BT.10.175.1.14.MWEB.12._APPDYNAMICS.622.svg", "&lt;FlChart&gt;")</f>
      </c>
      <c r="Q176" s="0" t="s">
        <v>101</v>
      </c>
      <c r="R176" s="0" t="s">
        <v>145</v>
      </c>
      <c r="S176" s="0" t="s">
        <v>185</v>
      </c>
      <c r="T176" s="0" t="s">
        <v>1283</v>
      </c>
    </row>
    <row r="177">
      <c r="A177" s="0" t="s">
        <v>28</v>
      </c>
      <c r="B177" s="0" t="s">
        <v>30</v>
      </c>
      <c r="C177" s="0" t="s">
        <v>186</v>
      </c>
      <c r="D177" s="0" t="s">
        <v>1030</v>
      </c>
      <c r="E177" s="0" t="s">
        <v>1030</v>
      </c>
      <c r="F177" s="0" t="b">
        <v>0</v>
      </c>
      <c r="G177" s="0" t="s">
        <v>1031</v>
      </c>
      <c r="H177" s="0" t="b">
        <v>0</v>
      </c>
      <c r="I177" s="0" t="s">
        <v>114</v>
      </c>
      <c r="J177" s="0">
        <v>12</v>
      </c>
      <c r="K177" s="0">
        <v>54</v>
      </c>
      <c r="L177" s="0">
        <v>627</v>
      </c>
      <c r="M177" s="1">
        <f>=HYPERLINK("10.175.1.14\MWEB.12\BT\EntityDetails.10.175.1.14.MWEB.12._APPDYNAMICS.627.xlsx", "&lt;Detail&gt;")</f>
      </c>
      <c r="N177" s="1">
        <f>=HYPERLINK("10.175.1.14\MWEB.12\BT\MetricGraphs.BT.10.175.1.14.MWEB.12.xlsx", "&lt;Metrics&gt;")</f>
      </c>
      <c r="O177" s="1">
        <f>=HYPERLINK("10.175.1.14\MWEB.12\BT\FlameGraph.BT.10.175.1.14.MWEB.12._APPDYNAMICS.627.svg", "&lt;FlGraph&gt;")</f>
      </c>
      <c r="P177" s="1">
        <f>=HYPERLINK("10.175.1.14\MWEB.12\BT\FlameChart.BT.10.175.1.14.MWEB.12._APPDYNAMICS.627.svg", "&lt;FlChart&gt;")</f>
      </c>
      <c r="Q177" s="0" t="s">
        <v>101</v>
      </c>
      <c r="R177" s="0" t="s">
        <v>145</v>
      </c>
      <c r="S177" s="0" t="s">
        <v>187</v>
      </c>
      <c r="T177" s="0" t="s">
        <v>1284</v>
      </c>
    </row>
    <row r="178">
      <c r="A178" s="0" t="s">
        <v>28</v>
      </c>
      <c r="B178" s="0" t="s">
        <v>30</v>
      </c>
      <c r="C178" s="0" t="s">
        <v>188</v>
      </c>
      <c r="D178" s="0" t="s">
        <v>1285</v>
      </c>
      <c r="E178" s="0" t="s">
        <v>1285</v>
      </c>
      <c r="F178" s="0" t="b">
        <v>0</v>
      </c>
      <c r="G178" s="0" t="s">
        <v>976</v>
      </c>
      <c r="H178" s="0" t="b">
        <v>0</v>
      </c>
      <c r="I178" s="0" t="s">
        <v>114</v>
      </c>
      <c r="J178" s="0">
        <v>12</v>
      </c>
      <c r="K178" s="0">
        <v>53</v>
      </c>
      <c r="L178" s="0">
        <v>784</v>
      </c>
      <c r="M178" s="1">
        <f>=HYPERLINK("10.175.1.14\MWEB.12\BT\EntityDetails.10.175.1.14.MWEB.12.-connect-WEB.784.xlsx", "&lt;Detail&gt;")</f>
      </c>
      <c r="N178" s="1">
        <f>=HYPERLINK("10.175.1.14\MWEB.12\BT\MetricGraphs.BT.10.175.1.14.MWEB.12.xlsx", "&lt;Metrics&gt;")</f>
      </c>
      <c r="O178" s="1">
        <f>=HYPERLINK("10.175.1.14\MWEB.12\BT\FlameGraph.BT.10.175.1.14.MWEB.12.-connect-WEB.784.svg", "&lt;FlGraph&gt;")</f>
      </c>
      <c r="P178" s="1">
        <f>=HYPERLINK("10.175.1.14\MWEB.12\BT\FlameChart.BT.10.175.1.14.MWEB.12.-connect-WEB.784.svg", "&lt;FlChart&gt;")</f>
      </c>
      <c r="Q178" s="0" t="s">
        <v>101</v>
      </c>
      <c r="R178" s="0" t="s">
        <v>145</v>
      </c>
      <c r="S178" s="0" t="s">
        <v>189</v>
      </c>
      <c r="T178" s="0" t="s">
        <v>1286</v>
      </c>
    </row>
    <row r="179">
      <c r="A179" s="0" t="s">
        <v>28</v>
      </c>
      <c r="B179" s="0" t="s">
        <v>30</v>
      </c>
      <c r="C179" s="0" t="s">
        <v>188</v>
      </c>
      <c r="D179" s="0" t="s">
        <v>984</v>
      </c>
      <c r="E179" s="0" t="s">
        <v>984</v>
      </c>
      <c r="F179" s="0" t="b">
        <v>0</v>
      </c>
      <c r="G179" s="0" t="s">
        <v>976</v>
      </c>
      <c r="H179" s="0" t="b">
        <v>0</v>
      </c>
      <c r="I179" s="0" t="s">
        <v>114</v>
      </c>
      <c r="J179" s="0">
        <v>12</v>
      </c>
      <c r="K179" s="0">
        <v>53</v>
      </c>
      <c r="L179" s="0">
        <v>696</v>
      </c>
      <c r="M179" s="1">
        <f>=HYPERLINK("10.175.1.14\MWEB.12\BT\EntityDetails.10.175.1.14.MWEB.12.-HealthMonit.696.xlsx", "&lt;Detail&gt;")</f>
      </c>
      <c r="N179" s="1">
        <f>=HYPERLINK("10.175.1.14\MWEB.12\BT\MetricGraphs.BT.10.175.1.14.MWEB.12.xlsx", "&lt;Metrics&gt;")</f>
      </c>
      <c r="O179" s="1">
        <f>=HYPERLINK("10.175.1.14\MWEB.12\BT\FlameGraph.BT.10.175.1.14.MWEB.12.-HealthMonit.696.svg", "&lt;FlGraph&gt;")</f>
      </c>
      <c r="P179" s="1">
        <f>=HYPERLINK("10.175.1.14\MWEB.12\BT\FlameChart.BT.10.175.1.14.MWEB.12.-HealthMonit.696.svg", "&lt;FlChart&gt;")</f>
      </c>
      <c r="Q179" s="0" t="s">
        <v>101</v>
      </c>
      <c r="R179" s="0" t="s">
        <v>145</v>
      </c>
      <c r="S179" s="0" t="s">
        <v>189</v>
      </c>
      <c r="T179" s="0" t="s">
        <v>1287</v>
      </c>
    </row>
    <row r="180">
      <c r="A180" s="0" t="s">
        <v>28</v>
      </c>
      <c r="B180" s="0" t="s">
        <v>30</v>
      </c>
      <c r="C180" s="0" t="s">
        <v>188</v>
      </c>
      <c r="D180" s="0" t="s">
        <v>1030</v>
      </c>
      <c r="E180" s="0" t="s">
        <v>1030</v>
      </c>
      <c r="F180" s="0" t="b">
        <v>0</v>
      </c>
      <c r="G180" s="0" t="s">
        <v>1031</v>
      </c>
      <c r="H180" s="0" t="b">
        <v>0</v>
      </c>
      <c r="I180" s="0" t="s">
        <v>114</v>
      </c>
      <c r="J180" s="0">
        <v>12</v>
      </c>
      <c r="K180" s="0">
        <v>53</v>
      </c>
      <c r="L180" s="0">
        <v>624</v>
      </c>
      <c r="M180" s="1">
        <f>=HYPERLINK("10.175.1.14\MWEB.12\BT\EntityDetails.10.175.1.14.MWEB.12._APPDYNAMICS.624.xlsx", "&lt;Detail&gt;")</f>
      </c>
      <c r="N180" s="1">
        <f>=HYPERLINK("10.175.1.14\MWEB.12\BT\MetricGraphs.BT.10.175.1.14.MWEB.12.xlsx", "&lt;Metrics&gt;")</f>
      </c>
      <c r="O180" s="1">
        <f>=HYPERLINK("10.175.1.14\MWEB.12\BT\FlameGraph.BT.10.175.1.14.MWEB.12._APPDYNAMICS.624.svg", "&lt;FlGraph&gt;")</f>
      </c>
      <c r="P180" s="1">
        <f>=HYPERLINK("10.175.1.14\MWEB.12\BT\FlameChart.BT.10.175.1.14.MWEB.12._APPDYNAMICS.624.svg", "&lt;FlChart&gt;")</f>
      </c>
      <c r="Q180" s="0" t="s">
        <v>101</v>
      </c>
      <c r="R180" s="0" t="s">
        <v>145</v>
      </c>
      <c r="S180" s="0" t="s">
        <v>189</v>
      </c>
      <c r="T180" s="0" t="s">
        <v>1288</v>
      </c>
    </row>
    <row r="181">
      <c r="A181" s="0" t="s">
        <v>28</v>
      </c>
      <c r="B181" s="0" t="s">
        <v>30</v>
      </c>
      <c r="C181" s="0" t="s">
        <v>190</v>
      </c>
      <c r="D181" s="0" t="s">
        <v>1030</v>
      </c>
      <c r="E181" s="0" t="s">
        <v>1030</v>
      </c>
      <c r="F181" s="0" t="b">
        <v>0</v>
      </c>
      <c r="G181" s="0" t="s">
        <v>1031</v>
      </c>
      <c r="H181" s="0" t="b">
        <v>0</v>
      </c>
      <c r="I181" s="0" t="s">
        <v>114</v>
      </c>
      <c r="J181" s="0">
        <v>12</v>
      </c>
      <c r="K181" s="0">
        <v>56</v>
      </c>
      <c r="L181" s="0">
        <v>626</v>
      </c>
      <c r="M181" s="1">
        <f>=HYPERLINK("10.175.1.14\MWEB.12\BT\EntityDetails.10.175.1.14.MWEB.12._APPDYNAMICS.626.xlsx", "&lt;Detail&gt;")</f>
      </c>
      <c r="N181" s="1">
        <f>=HYPERLINK("10.175.1.14\MWEB.12\BT\MetricGraphs.BT.10.175.1.14.MWEB.12.xlsx", "&lt;Metrics&gt;")</f>
      </c>
      <c r="O181" s="1">
        <f>=HYPERLINK("10.175.1.14\MWEB.12\BT\FlameGraph.BT.10.175.1.14.MWEB.12._APPDYNAMICS.626.svg", "&lt;FlGraph&gt;")</f>
      </c>
      <c r="P181" s="1">
        <f>=HYPERLINK("10.175.1.14\MWEB.12\BT\FlameChart.BT.10.175.1.14.MWEB.12._APPDYNAMICS.626.svg", "&lt;FlChart&gt;")</f>
      </c>
      <c r="Q181" s="0" t="s">
        <v>101</v>
      </c>
      <c r="R181" s="0" t="s">
        <v>145</v>
      </c>
      <c r="S181" s="0" t="s">
        <v>191</v>
      </c>
      <c r="T181" s="0" t="s">
        <v>1289</v>
      </c>
    </row>
    <row r="182">
      <c r="A182" s="0" t="s">
        <v>28</v>
      </c>
      <c r="B182" s="0" t="s">
        <v>30</v>
      </c>
      <c r="C182" s="0" t="s">
        <v>192</v>
      </c>
      <c r="D182" s="0" t="s">
        <v>454</v>
      </c>
      <c r="E182" s="0" t="s">
        <v>454</v>
      </c>
      <c r="F182" s="0" t="b">
        <v>0</v>
      </c>
      <c r="G182" s="0" t="s">
        <v>1137</v>
      </c>
      <c r="H182" s="0" t="b">
        <v>0</v>
      </c>
      <c r="I182" s="0" t="s">
        <v>114</v>
      </c>
      <c r="J182" s="0">
        <v>12</v>
      </c>
      <c r="K182" s="0">
        <v>48</v>
      </c>
      <c r="L182" s="0">
        <v>926</v>
      </c>
      <c r="M182" s="1">
        <f>=HYPERLINK("10.175.1.14\MWEB.12\BT\EntityDetails.10.175.1.14.MWEB.12.-.926.xlsx", "&lt;Detail&gt;")</f>
      </c>
      <c r="N182" s="1">
        <f>=HYPERLINK("10.175.1.14\MWEB.12\BT\MetricGraphs.BT.10.175.1.14.MWEB.12.xlsx", "&lt;Metrics&gt;")</f>
      </c>
      <c r="O182" s="1">
        <f>=HYPERLINK("10.175.1.14\MWEB.12\BT\FlameGraph.BT.10.175.1.14.MWEB.12.-.926.svg", "&lt;FlGraph&gt;")</f>
      </c>
      <c r="P182" s="1">
        <f>=HYPERLINK("10.175.1.14\MWEB.12\BT\FlameChart.BT.10.175.1.14.MWEB.12.-.926.svg", "&lt;FlChart&gt;")</f>
      </c>
      <c r="Q182" s="0" t="s">
        <v>101</v>
      </c>
      <c r="R182" s="0" t="s">
        <v>145</v>
      </c>
      <c r="S182" s="0" t="s">
        <v>193</v>
      </c>
      <c r="T182" s="0" t="s">
        <v>1290</v>
      </c>
    </row>
    <row r="183">
      <c r="A183" s="0" t="s">
        <v>28</v>
      </c>
      <c r="B183" s="0" t="s">
        <v>30</v>
      </c>
      <c r="C183" s="0" t="s">
        <v>192</v>
      </c>
      <c r="D183" s="0" t="s">
        <v>1291</v>
      </c>
      <c r="E183" s="0" t="s">
        <v>1291</v>
      </c>
      <c r="F183" s="0" t="b">
        <v>0</v>
      </c>
      <c r="G183" s="0" t="s">
        <v>1137</v>
      </c>
      <c r="H183" s="0" t="b">
        <v>0</v>
      </c>
      <c r="I183" s="0" t="s">
        <v>114</v>
      </c>
      <c r="J183" s="0">
        <v>12</v>
      </c>
      <c r="K183" s="0">
        <v>48</v>
      </c>
      <c r="L183" s="0">
        <v>933</v>
      </c>
      <c r="M183" s="1">
        <f>=HYPERLINK("10.175.1.14\MWEB.12\BT\EntityDetails.10.175.1.14.MWEB.12.-authenticat.933.xlsx", "&lt;Detail&gt;")</f>
      </c>
      <c r="N183" s="1">
        <f>=HYPERLINK("10.175.1.14\MWEB.12\BT\MetricGraphs.BT.10.175.1.14.MWEB.12.xlsx", "&lt;Metrics&gt;")</f>
      </c>
      <c r="O183" s="1">
        <f>=HYPERLINK("10.175.1.14\MWEB.12\BT\FlameGraph.BT.10.175.1.14.MWEB.12.-authenticat.933.svg", "&lt;FlGraph&gt;")</f>
      </c>
      <c r="P183" s="1">
        <f>=HYPERLINK("10.175.1.14\MWEB.12\BT\FlameChart.BT.10.175.1.14.MWEB.12.-authenticat.933.svg", "&lt;FlChart&gt;")</f>
      </c>
      <c r="Q183" s="0" t="s">
        <v>101</v>
      </c>
      <c r="R183" s="0" t="s">
        <v>145</v>
      </c>
      <c r="S183" s="0" t="s">
        <v>193</v>
      </c>
      <c r="T183" s="0" t="s">
        <v>1292</v>
      </c>
    </row>
    <row r="184">
      <c r="A184" s="0" t="s">
        <v>28</v>
      </c>
      <c r="B184" s="0" t="s">
        <v>30</v>
      </c>
      <c r="C184" s="0" t="s">
        <v>192</v>
      </c>
      <c r="D184" s="0" t="s">
        <v>1293</v>
      </c>
      <c r="E184" s="0" t="s">
        <v>1293</v>
      </c>
      <c r="F184" s="0" t="b">
        <v>0</v>
      </c>
      <c r="G184" s="0" t="s">
        <v>1137</v>
      </c>
      <c r="H184" s="0" t="b">
        <v>0</v>
      </c>
      <c r="I184" s="0" t="s">
        <v>114</v>
      </c>
      <c r="J184" s="0">
        <v>12</v>
      </c>
      <c r="K184" s="0">
        <v>48</v>
      </c>
      <c r="L184" s="0">
        <v>930</v>
      </c>
      <c r="M184" s="1">
        <f>=HYPERLINK("10.175.1.14\MWEB.12\BT\EntityDetails.10.175.1.14.MWEB.12.-file.930.xlsx", "&lt;Detail&gt;")</f>
      </c>
      <c r="N184" s="1">
        <f>=HYPERLINK("10.175.1.14\MWEB.12\BT\MetricGraphs.BT.10.175.1.14.MWEB.12.xlsx", "&lt;Metrics&gt;")</f>
      </c>
      <c r="O184" s="1">
        <f>=HYPERLINK("10.175.1.14\MWEB.12\BT\FlameGraph.BT.10.175.1.14.MWEB.12.-file.930.svg", "&lt;FlGraph&gt;")</f>
      </c>
      <c r="P184" s="1">
        <f>=HYPERLINK("10.175.1.14\MWEB.12\BT\FlameChart.BT.10.175.1.14.MWEB.12.-file.930.svg", "&lt;FlChart&gt;")</f>
      </c>
      <c r="Q184" s="0" t="s">
        <v>101</v>
      </c>
      <c r="R184" s="0" t="s">
        <v>145</v>
      </c>
      <c r="S184" s="0" t="s">
        <v>193</v>
      </c>
      <c r="T184" s="0" t="s">
        <v>1294</v>
      </c>
    </row>
    <row r="185">
      <c r="A185" s="0" t="s">
        <v>28</v>
      </c>
      <c r="B185" s="0" t="s">
        <v>30</v>
      </c>
      <c r="C185" s="0" t="s">
        <v>192</v>
      </c>
      <c r="D185" s="0" t="s">
        <v>1295</v>
      </c>
      <c r="E185" s="0" t="s">
        <v>1295</v>
      </c>
      <c r="F185" s="0" t="b">
        <v>0</v>
      </c>
      <c r="G185" s="0" t="s">
        <v>1137</v>
      </c>
      <c r="H185" s="0" t="b">
        <v>0</v>
      </c>
      <c r="I185" s="0" t="s">
        <v>114</v>
      </c>
      <c r="J185" s="0">
        <v>12</v>
      </c>
      <c r="K185" s="0">
        <v>48</v>
      </c>
      <c r="L185" s="0">
        <v>932</v>
      </c>
      <c r="M185" s="1">
        <f>=HYPERLINK("10.175.1.14\MWEB.12\BT\EntityDetails.10.175.1.14.MWEB.12.-hc-error.932.xlsx", "&lt;Detail&gt;")</f>
      </c>
      <c r="N185" s="1">
        <f>=HYPERLINK("10.175.1.14\MWEB.12\BT\MetricGraphs.BT.10.175.1.14.MWEB.12.xlsx", "&lt;Metrics&gt;")</f>
      </c>
      <c r="O185" s="1">
        <f>=HYPERLINK("10.175.1.14\MWEB.12\BT\FlameGraph.BT.10.175.1.14.MWEB.12.-hc-error.932.svg", "&lt;FlGraph&gt;")</f>
      </c>
      <c r="P185" s="1">
        <f>=HYPERLINK("10.175.1.14\MWEB.12\BT\FlameChart.BT.10.175.1.14.MWEB.12.-hc-error.932.svg", "&lt;FlChart&gt;")</f>
      </c>
      <c r="Q185" s="0" t="s">
        <v>101</v>
      </c>
      <c r="R185" s="0" t="s">
        <v>145</v>
      </c>
      <c r="S185" s="0" t="s">
        <v>193</v>
      </c>
      <c r="T185" s="0" t="s">
        <v>1296</v>
      </c>
    </row>
    <row r="186">
      <c r="A186" s="0" t="s">
        <v>28</v>
      </c>
      <c r="B186" s="0" t="s">
        <v>30</v>
      </c>
      <c r="C186" s="0" t="s">
        <v>192</v>
      </c>
      <c r="D186" s="0" t="s">
        <v>1297</v>
      </c>
      <c r="E186" s="0" t="s">
        <v>1297</v>
      </c>
      <c r="F186" s="0" t="b">
        <v>0</v>
      </c>
      <c r="G186" s="0" t="s">
        <v>1137</v>
      </c>
      <c r="H186" s="0" t="b">
        <v>0</v>
      </c>
      <c r="I186" s="0" t="s">
        <v>114</v>
      </c>
      <c r="J186" s="0">
        <v>12</v>
      </c>
      <c r="K186" s="0">
        <v>48</v>
      </c>
      <c r="L186" s="0">
        <v>927</v>
      </c>
      <c r="M186" s="1">
        <f>=HYPERLINK("10.175.1.14\MWEB.12\BT\EntityDetails.10.175.1.14.MWEB.12.-html-nhome..927.xlsx", "&lt;Detail&gt;")</f>
      </c>
      <c r="N186" s="1">
        <f>=HYPERLINK("10.175.1.14\MWEB.12\BT\MetricGraphs.BT.10.175.1.14.MWEB.12.xlsx", "&lt;Metrics&gt;")</f>
      </c>
      <c r="O186" s="1">
        <f>=HYPERLINK("10.175.1.14\MWEB.12\BT\FlameGraph.BT.10.175.1.14.MWEB.12.-html-nhome..927.svg", "&lt;FlGraph&gt;")</f>
      </c>
      <c r="P186" s="1">
        <f>=HYPERLINK("10.175.1.14\MWEB.12\BT\FlameChart.BT.10.175.1.14.MWEB.12.-html-nhome..927.svg", "&lt;FlChart&gt;")</f>
      </c>
      <c r="Q186" s="0" t="s">
        <v>101</v>
      </c>
      <c r="R186" s="0" t="s">
        <v>145</v>
      </c>
      <c r="S186" s="0" t="s">
        <v>193</v>
      </c>
      <c r="T186" s="0" t="s">
        <v>1298</v>
      </c>
    </row>
    <row r="187">
      <c r="A187" s="0" t="s">
        <v>28</v>
      </c>
      <c r="B187" s="0" t="s">
        <v>30</v>
      </c>
      <c r="C187" s="0" t="s">
        <v>192</v>
      </c>
      <c r="D187" s="0" t="s">
        <v>1141</v>
      </c>
      <c r="E187" s="0" t="s">
        <v>1141</v>
      </c>
      <c r="F187" s="0" t="b">
        <v>0</v>
      </c>
      <c r="G187" s="0" t="s">
        <v>1137</v>
      </c>
      <c r="H187" s="0" t="b">
        <v>0</v>
      </c>
      <c r="I187" s="0" t="s">
        <v>114</v>
      </c>
      <c r="J187" s="0">
        <v>12</v>
      </c>
      <c r="K187" s="0">
        <v>48</v>
      </c>
      <c r="L187" s="0">
        <v>929</v>
      </c>
      <c r="M187" s="1">
        <f>=HYPERLINK("10.175.1.14\MWEB.12\BT\EntityDetails.10.175.1.14.MWEB.12.-index.php.929.xlsx", "&lt;Detail&gt;")</f>
      </c>
      <c r="N187" s="1">
        <f>=HYPERLINK("10.175.1.14\MWEB.12\BT\MetricGraphs.BT.10.175.1.14.MWEB.12.xlsx", "&lt;Metrics&gt;")</f>
      </c>
      <c r="O187" s="1">
        <f>=HYPERLINK("10.175.1.14\MWEB.12\BT\FlameGraph.BT.10.175.1.14.MWEB.12.-index.php.929.svg", "&lt;FlGraph&gt;")</f>
      </c>
      <c r="P187" s="1">
        <f>=HYPERLINK("10.175.1.14\MWEB.12\BT\FlameChart.BT.10.175.1.14.MWEB.12.-index.php.929.svg", "&lt;FlChart&gt;")</f>
      </c>
      <c r="Q187" s="0" t="s">
        <v>101</v>
      </c>
      <c r="R187" s="0" t="s">
        <v>145</v>
      </c>
      <c r="S187" s="0" t="s">
        <v>193</v>
      </c>
      <c r="T187" s="0" t="s">
        <v>1299</v>
      </c>
    </row>
    <row r="188">
      <c r="A188" s="0" t="s">
        <v>28</v>
      </c>
      <c r="B188" s="0" t="s">
        <v>30</v>
      </c>
      <c r="C188" s="0" t="s">
        <v>192</v>
      </c>
      <c r="D188" s="0" t="s">
        <v>1147</v>
      </c>
      <c r="E188" s="0" t="s">
        <v>1147</v>
      </c>
      <c r="F188" s="0" t="b">
        <v>0</v>
      </c>
      <c r="G188" s="0" t="s">
        <v>1137</v>
      </c>
      <c r="H188" s="0" t="b">
        <v>0</v>
      </c>
      <c r="I188" s="0" t="s">
        <v>114</v>
      </c>
      <c r="J188" s="0">
        <v>12</v>
      </c>
      <c r="K188" s="0">
        <v>48</v>
      </c>
      <c r="L188" s="0">
        <v>712</v>
      </c>
      <c r="M188" s="1">
        <f>=HYPERLINK("10.175.1.14\MWEB.12\BT\EntityDetails.10.175.1.14.MWEB.12.-newsplus-.712.xlsx", "&lt;Detail&gt;")</f>
      </c>
      <c r="N188" s="1">
        <f>=HYPERLINK("10.175.1.14\MWEB.12\BT\MetricGraphs.BT.10.175.1.14.MWEB.12.xlsx", "&lt;Metrics&gt;")</f>
      </c>
      <c r="O188" s="1">
        <f>=HYPERLINK("10.175.1.14\MWEB.12\BT\FlameGraph.BT.10.175.1.14.MWEB.12.-newsplus-.712.svg", "&lt;FlGraph&gt;")</f>
      </c>
      <c r="P188" s="1">
        <f>=HYPERLINK("10.175.1.14\MWEB.12\BT\FlameChart.BT.10.175.1.14.MWEB.12.-newsplus-.712.svg", "&lt;FlChart&gt;")</f>
      </c>
      <c r="Q188" s="0" t="s">
        <v>101</v>
      </c>
      <c r="R188" s="0" t="s">
        <v>145</v>
      </c>
      <c r="S188" s="0" t="s">
        <v>193</v>
      </c>
      <c r="T188" s="0" t="s">
        <v>1300</v>
      </c>
    </row>
    <row r="189">
      <c r="A189" s="0" t="s">
        <v>28</v>
      </c>
      <c r="B189" s="0" t="s">
        <v>30</v>
      </c>
      <c r="C189" s="0" t="s">
        <v>192</v>
      </c>
      <c r="D189" s="0" t="s">
        <v>1155</v>
      </c>
      <c r="E189" s="0" t="s">
        <v>1155</v>
      </c>
      <c r="F189" s="0" t="b">
        <v>0</v>
      </c>
      <c r="G189" s="0" t="s">
        <v>1137</v>
      </c>
      <c r="H189" s="0" t="b">
        <v>0</v>
      </c>
      <c r="I189" s="0" t="s">
        <v>114</v>
      </c>
      <c r="J189" s="0">
        <v>12</v>
      </c>
      <c r="K189" s="0">
        <v>48</v>
      </c>
      <c r="L189" s="0">
        <v>895</v>
      </c>
      <c r="M189" s="1">
        <f>=HYPERLINK("10.175.1.14\MWEB.12\BT\EntityDetails.10.175.1.14.MWEB.12.-newsplus-br.895.xlsx", "&lt;Detail&gt;")</f>
      </c>
      <c r="N189" s="1">
        <f>=HYPERLINK("10.175.1.14\MWEB.12\BT\MetricGraphs.BT.10.175.1.14.MWEB.12.xlsx", "&lt;Metrics&gt;")</f>
      </c>
      <c r="O189" s="1">
        <f>=HYPERLINK("10.175.1.14\MWEB.12\BT\FlameGraph.BT.10.175.1.14.MWEB.12.-newsplus-br.895.svg", "&lt;FlGraph&gt;")</f>
      </c>
      <c r="P189" s="1">
        <f>=HYPERLINK("10.175.1.14\MWEB.12\BT\FlameChart.BT.10.175.1.14.MWEB.12.-newsplus-br.895.svg", "&lt;FlChart&gt;")</f>
      </c>
      <c r="Q189" s="0" t="s">
        <v>101</v>
      </c>
      <c r="R189" s="0" t="s">
        <v>145</v>
      </c>
      <c r="S189" s="0" t="s">
        <v>193</v>
      </c>
      <c r="T189" s="0" t="s">
        <v>1301</v>
      </c>
    </row>
    <row r="190">
      <c r="A190" s="0" t="s">
        <v>28</v>
      </c>
      <c r="B190" s="0" t="s">
        <v>30</v>
      </c>
      <c r="C190" s="0" t="s">
        <v>192</v>
      </c>
      <c r="D190" s="0" t="s">
        <v>1157</v>
      </c>
      <c r="E190" s="0" t="s">
        <v>1157</v>
      </c>
      <c r="F190" s="0" t="b">
        <v>0</v>
      </c>
      <c r="G190" s="0" t="s">
        <v>1137</v>
      </c>
      <c r="H190" s="0" t="b">
        <v>0</v>
      </c>
      <c r="I190" s="0" t="s">
        <v>114</v>
      </c>
      <c r="J190" s="0">
        <v>12</v>
      </c>
      <c r="K190" s="0">
        <v>48</v>
      </c>
      <c r="L190" s="0">
        <v>904</v>
      </c>
      <c r="M190" s="1">
        <f>=HYPERLINK("10.175.1.14\MWEB.12\BT\EntityDetails.10.175.1.14.MWEB.12.-newsplus-ca.904.xlsx", "&lt;Detail&gt;")</f>
      </c>
      <c r="N190" s="1">
        <f>=HYPERLINK("10.175.1.14\MWEB.12\BT\MetricGraphs.BT.10.175.1.14.MWEB.12.xlsx", "&lt;Metrics&gt;")</f>
      </c>
      <c r="O190" s="1">
        <f>=HYPERLINK("10.175.1.14\MWEB.12\BT\FlameGraph.BT.10.175.1.14.MWEB.12.-newsplus-ca.904.svg", "&lt;FlGraph&gt;")</f>
      </c>
      <c r="P190" s="1">
        <f>=HYPERLINK("10.175.1.14\MWEB.12\BT\FlameChart.BT.10.175.1.14.MWEB.12.-newsplus-ca.904.svg", "&lt;FlChart&gt;")</f>
      </c>
      <c r="Q190" s="0" t="s">
        <v>101</v>
      </c>
      <c r="R190" s="0" t="s">
        <v>145</v>
      </c>
      <c r="S190" s="0" t="s">
        <v>193</v>
      </c>
      <c r="T190" s="0" t="s">
        <v>1302</v>
      </c>
    </row>
    <row r="191">
      <c r="A191" s="0" t="s">
        <v>28</v>
      </c>
      <c r="B191" s="0" t="s">
        <v>30</v>
      </c>
      <c r="C191" s="0" t="s">
        <v>192</v>
      </c>
      <c r="D191" s="0" t="s">
        <v>1159</v>
      </c>
      <c r="E191" s="0" t="s">
        <v>1159</v>
      </c>
      <c r="F191" s="0" t="b">
        <v>0</v>
      </c>
      <c r="G191" s="0" t="s">
        <v>1137</v>
      </c>
      <c r="H191" s="0" t="b">
        <v>0</v>
      </c>
      <c r="I191" s="0" t="s">
        <v>114</v>
      </c>
      <c r="J191" s="0">
        <v>12</v>
      </c>
      <c r="K191" s="0">
        <v>48</v>
      </c>
      <c r="L191" s="0">
        <v>906</v>
      </c>
      <c r="M191" s="1">
        <f>=HYPERLINK("10.175.1.14\MWEB.12\BT\EntityDetails.10.175.1.14.MWEB.12.-newsplus-ca.906.xlsx", "&lt;Detail&gt;")</f>
      </c>
      <c r="N191" s="1">
        <f>=HYPERLINK("10.175.1.14\MWEB.12\BT\MetricGraphs.BT.10.175.1.14.MWEB.12.xlsx", "&lt;Metrics&gt;")</f>
      </c>
      <c r="O191" s="1">
        <f>=HYPERLINK("10.175.1.14\MWEB.12\BT\FlameGraph.BT.10.175.1.14.MWEB.12.-newsplus-ca.906.svg", "&lt;FlGraph&gt;")</f>
      </c>
      <c r="P191" s="1">
        <f>=HYPERLINK("10.175.1.14\MWEB.12\BT\FlameChart.BT.10.175.1.14.MWEB.12.-newsplus-ca.906.svg", "&lt;FlChart&gt;")</f>
      </c>
      <c r="Q191" s="0" t="s">
        <v>101</v>
      </c>
      <c r="R191" s="0" t="s">
        <v>145</v>
      </c>
      <c r="S191" s="0" t="s">
        <v>193</v>
      </c>
      <c r="T191" s="0" t="s">
        <v>1303</v>
      </c>
    </row>
    <row r="192">
      <c r="A192" s="0" t="s">
        <v>28</v>
      </c>
      <c r="B192" s="0" t="s">
        <v>30</v>
      </c>
      <c r="C192" s="0" t="s">
        <v>192</v>
      </c>
      <c r="D192" s="0" t="s">
        <v>1165</v>
      </c>
      <c r="E192" s="0" t="s">
        <v>1165</v>
      </c>
      <c r="F192" s="0" t="b">
        <v>0</v>
      </c>
      <c r="G192" s="0" t="s">
        <v>1137</v>
      </c>
      <c r="H192" s="0" t="b">
        <v>0</v>
      </c>
      <c r="I192" s="0" t="s">
        <v>114</v>
      </c>
      <c r="J192" s="0">
        <v>12</v>
      </c>
      <c r="K192" s="0">
        <v>48</v>
      </c>
      <c r="L192" s="0">
        <v>907</v>
      </c>
      <c r="M192" s="1">
        <f>=HYPERLINK("10.175.1.14\MWEB.12\BT\EntityDetails.10.175.1.14.MWEB.12.-newsplus-co.907.xlsx", "&lt;Detail&gt;")</f>
      </c>
      <c r="N192" s="1">
        <f>=HYPERLINK("10.175.1.14\MWEB.12\BT\MetricGraphs.BT.10.175.1.14.MWEB.12.xlsx", "&lt;Metrics&gt;")</f>
      </c>
      <c r="O192" s="1">
        <f>=HYPERLINK("10.175.1.14\MWEB.12\BT\FlameGraph.BT.10.175.1.14.MWEB.12.-newsplus-co.907.svg", "&lt;FlGraph&gt;")</f>
      </c>
      <c r="P192" s="1">
        <f>=HYPERLINK("10.175.1.14\MWEB.12\BT\FlameChart.BT.10.175.1.14.MWEB.12.-newsplus-co.907.svg", "&lt;FlChart&gt;")</f>
      </c>
      <c r="Q192" s="0" t="s">
        <v>101</v>
      </c>
      <c r="R192" s="0" t="s">
        <v>145</v>
      </c>
      <c r="S192" s="0" t="s">
        <v>193</v>
      </c>
      <c r="T192" s="0" t="s">
        <v>1304</v>
      </c>
    </row>
    <row r="193">
      <c r="A193" s="0" t="s">
        <v>28</v>
      </c>
      <c r="B193" s="0" t="s">
        <v>30</v>
      </c>
      <c r="C193" s="0" t="s">
        <v>192</v>
      </c>
      <c r="D193" s="0" t="s">
        <v>1167</v>
      </c>
      <c r="E193" s="0" t="s">
        <v>1167</v>
      </c>
      <c r="F193" s="0" t="b">
        <v>0</v>
      </c>
      <c r="G193" s="0" t="s">
        <v>1137</v>
      </c>
      <c r="H193" s="0" t="b">
        <v>0</v>
      </c>
      <c r="I193" s="0" t="s">
        <v>114</v>
      </c>
      <c r="J193" s="0">
        <v>12</v>
      </c>
      <c r="K193" s="0">
        <v>48</v>
      </c>
      <c r="L193" s="0">
        <v>905</v>
      </c>
      <c r="M193" s="1">
        <f>=HYPERLINK("10.175.1.14\MWEB.12\BT\EntityDetails.10.175.1.14.MWEB.12.-newsplus-ec.905.xlsx", "&lt;Detail&gt;")</f>
      </c>
      <c r="N193" s="1">
        <f>=HYPERLINK("10.175.1.14\MWEB.12\BT\MetricGraphs.BT.10.175.1.14.MWEB.12.xlsx", "&lt;Metrics&gt;")</f>
      </c>
      <c r="O193" s="1">
        <f>=HYPERLINK("10.175.1.14\MWEB.12\BT\FlameGraph.BT.10.175.1.14.MWEB.12.-newsplus-ec.905.svg", "&lt;FlGraph&gt;")</f>
      </c>
      <c r="P193" s="1">
        <f>=HYPERLINK("10.175.1.14\MWEB.12\BT\FlameChart.BT.10.175.1.14.MWEB.12.-newsplus-ec.905.svg", "&lt;FlChart&gt;")</f>
      </c>
      <c r="Q193" s="0" t="s">
        <v>101</v>
      </c>
      <c r="R193" s="0" t="s">
        <v>145</v>
      </c>
      <c r="S193" s="0" t="s">
        <v>193</v>
      </c>
      <c r="T193" s="0" t="s">
        <v>1305</v>
      </c>
    </row>
    <row r="194">
      <c r="A194" s="0" t="s">
        <v>28</v>
      </c>
      <c r="B194" s="0" t="s">
        <v>30</v>
      </c>
      <c r="C194" s="0" t="s">
        <v>192</v>
      </c>
      <c r="D194" s="0" t="s">
        <v>1171</v>
      </c>
      <c r="E194" s="0" t="s">
        <v>1171</v>
      </c>
      <c r="F194" s="0" t="b">
        <v>0</v>
      </c>
      <c r="G194" s="0" t="s">
        <v>1137</v>
      </c>
      <c r="H194" s="0" t="b">
        <v>0</v>
      </c>
      <c r="I194" s="0" t="s">
        <v>114</v>
      </c>
      <c r="J194" s="0">
        <v>12</v>
      </c>
      <c r="K194" s="0">
        <v>48</v>
      </c>
      <c r="L194" s="0">
        <v>724</v>
      </c>
      <c r="M194" s="1">
        <f>=HYPERLINK("10.175.1.14\MWEB.12\BT\EntityDetails.10.175.1.14.MWEB.12.-newsplus-er.724.xlsx", "&lt;Detail&gt;")</f>
      </c>
      <c r="N194" s="1">
        <f>=HYPERLINK("10.175.1.14\MWEB.12\BT\MetricGraphs.BT.10.175.1.14.MWEB.12.xlsx", "&lt;Metrics&gt;")</f>
      </c>
      <c r="O194" s="1">
        <f>=HYPERLINK("10.175.1.14\MWEB.12\BT\FlameGraph.BT.10.175.1.14.MWEB.12.-newsplus-er.724.svg", "&lt;FlGraph&gt;")</f>
      </c>
      <c r="P194" s="1">
        <f>=HYPERLINK("10.175.1.14\MWEB.12\BT\FlameChart.BT.10.175.1.14.MWEB.12.-newsplus-er.724.svg", "&lt;FlChart&gt;")</f>
      </c>
      <c r="Q194" s="0" t="s">
        <v>101</v>
      </c>
      <c r="R194" s="0" t="s">
        <v>145</v>
      </c>
      <c r="S194" s="0" t="s">
        <v>193</v>
      </c>
      <c r="T194" s="0" t="s">
        <v>1306</v>
      </c>
    </row>
    <row r="195">
      <c r="A195" s="0" t="s">
        <v>28</v>
      </c>
      <c r="B195" s="0" t="s">
        <v>30</v>
      </c>
      <c r="C195" s="0" t="s">
        <v>192</v>
      </c>
      <c r="D195" s="0" t="s">
        <v>1173</v>
      </c>
      <c r="E195" s="0" t="s">
        <v>1173</v>
      </c>
      <c r="F195" s="0" t="b">
        <v>0</v>
      </c>
      <c r="G195" s="0" t="s">
        <v>1137</v>
      </c>
      <c r="H195" s="0" t="b">
        <v>0</v>
      </c>
      <c r="I195" s="0" t="s">
        <v>114</v>
      </c>
      <c r="J195" s="0">
        <v>12</v>
      </c>
      <c r="K195" s="0">
        <v>48</v>
      </c>
      <c r="L195" s="0">
        <v>925</v>
      </c>
      <c r="M195" s="1">
        <f>=HYPERLINK("10.175.1.14\MWEB.12\BT\EntityDetails.10.175.1.14.MWEB.12.-newsplus-er.925.xlsx", "&lt;Detail&gt;")</f>
      </c>
      <c r="N195" s="1">
        <f>=HYPERLINK("10.175.1.14\MWEB.12\BT\MetricGraphs.BT.10.175.1.14.MWEB.12.xlsx", "&lt;Metrics&gt;")</f>
      </c>
      <c r="O195" s="1">
        <f>=HYPERLINK("10.175.1.14\MWEB.12\BT\FlameGraph.BT.10.175.1.14.MWEB.12.-newsplus-er.925.svg", "&lt;FlGraph&gt;")</f>
      </c>
      <c r="P195" s="1">
        <f>=HYPERLINK("10.175.1.14\MWEB.12\BT\FlameChart.BT.10.175.1.14.MWEB.12.-newsplus-er.925.svg", "&lt;FlChart&gt;")</f>
      </c>
      <c r="Q195" s="0" t="s">
        <v>101</v>
      </c>
      <c r="R195" s="0" t="s">
        <v>145</v>
      </c>
      <c r="S195" s="0" t="s">
        <v>193</v>
      </c>
      <c r="T195" s="0" t="s">
        <v>1307</v>
      </c>
    </row>
    <row r="196">
      <c r="A196" s="0" t="s">
        <v>28</v>
      </c>
      <c r="B196" s="0" t="s">
        <v>30</v>
      </c>
      <c r="C196" s="0" t="s">
        <v>192</v>
      </c>
      <c r="D196" s="0" t="s">
        <v>1175</v>
      </c>
      <c r="E196" s="0" t="s">
        <v>1175</v>
      </c>
      <c r="F196" s="0" t="b">
        <v>0</v>
      </c>
      <c r="G196" s="0" t="s">
        <v>1137</v>
      </c>
      <c r="H196" s="0" t="b">
        <v>0</v>
      </c>
      <c r="I196" s="0" t="s">
        <v>114</v>
      </c>
      <c r="J196" s="0">
        <v>12</v>
      </c>
      <c r="K196" s="0">
        <v>48</v>
      </c>
      <c r="L196" s="0">
        <v>687</v>
      </c>
      <c r="M196" s="1">
        <f>=HYPERLINK("10.175.1.14\MWEB.12\BT\EntityDetails.10.175.1.14.MWEB.12.-newsplus-he.687.xlsx", "&lt;Detail&gt;")</f>
      </c>
      <c r="N196" s="1">
        <f>=HYPERLINK("10.175.1.14\MWEB.12\BT\MetricGraphs.BT.10.175.1.14.MWEB.12.xlsx", "&lt;Metrics&gt;")</f>
      </c>
      <c r="O196" s="1">
        <f>=HYPERLINK("10.175.1.14\MWEB.12\BT\FlameGraph.BT.10.175.1.14.MWEB.12.-newsplus-he.687.svg", "&lt;FlGraph&gt;")</f>
      </c>
      <c r="P196" s="1">
        <f>=HYPERLINK("10.175.1.14\MWEB.12\BT\FlameChart.BT.10.175.1.14.MWEB.12.-newsplus-he.687.svg", "&lt;FlChart&gt;")</f>
      </c>
      <c r="Q196" s="0" t="s">
        <v>101</v>
      </c>
      <c r="R196" s="0" t="s">
        <v>145</v>
      </c>
      <c r="S196" s="0" t="s">
        <v>193</v>
      </c>
      <c r="T196" s="0" t="s">
        <v>1308</v>
      </c>
    </row>
    <row r="197">
      <c r="A197" s="0" t="s">
        <v>28</v>
      </c>
      <c r="B197" s="0" t="s">
        <v>30</v>
      </c>
      <c r="C197" s="0" t="s">
        <v>192</v>
      </c>
      <c r="D197" s="0" t="s">
        <v>1177</v>
      </c>
      <c r="E197" s="0" t="s">
        <v>1177</v>
      </c>
      <c r="F197" s="0" t="b">
        <v>0</v>
      </c>
      <c r="G197" s="0" t="s">
        <v>1137</v>
      </c>
      <c r="H197" s="0" t="b">
        <v>0</v>
      </c>
      <c r="I197" s="0" t="s">
        <v>114</v>
      </c>
      <c r="J197" s="0">
        <v>12</v>
      </c>
      <c r="K197" s="0">
        <v>48</v>
      </c>
      <c r="L197" s="0">
        <v>898</v>
      </c>
      <c r="M197" s="1">
        <f>=HYPERLINK("10.175.1.14\MWEB.12\BT\EntityDetails.10.175.1.14.MWEB.12.-newsplus-im.898.xlsx", "&lt;Detail&gt;")</f>
      </c>
      <c r="N197" s="1">
        <f>=HYPERLINK("10.175.1.14\MWEB.12\BT\MetricGraphs.BT.10.175.1.14.MWEB.12.xlsx", "&lt;Metrics&gt;")</f>
      </c>
      <c r="O197" s="1">
        <f>=HYPERLINK("10.175.1.14\MWEB.12\BT\FlameGraph.BT.10.175.1.14.MWEB.12.-newsplus-im.898.svg", "&lt;FlGraph&gt;")</f>
      </c>
      <c r="P197" s="1">
        <f>=HYPERLINK("10.175.1.14\MWEB.12\BT\FlameChart.BT.10.175.1.14.MWEB.12.-newsplus-im.898.svg", "&lt;FlChart&gt;")</f>
      </c>
      <c r="Q197" s="0" t="s">
        <v>101</v>
      </c>
      <c r="R197" s="0" t="s">
        <v>145</v>
      </c>
      <c r="S197" s="0" t="s">
        <v>193</v>
      </c>
      <c r="T197" s="0" t="s">
        <v>1309</v>
      </c>
    </row>
    <row r="198">
      <c r="A198" s="0" t="s">
        <v>28</v>
      </c>
      <c r="B198" s="0" t="s">
        <v>30</v>
      </c>
      <c r="C198" s="0" t="s">
        <v>192</v>
      </c>
      <c r="D198" s="0" t="s">
        <v>1179</v>
      </c>
      <c r="E198" s="0" t="s">
        <v>1179</v>
      </c>
      <c r="F198" s="0" t="b">
        <v>0</v>
      </c>
      <c r="G198" s="0" t="s">
        <v>1137</v>
      </c>
      <c r="H198" s="0" t="b">
        <v>0</v>
      </c>
      <c r="I198" s="0" t="s">
        <v>114</v>
      </c>
      <c r="J198" s="0">
        <v>12</v>
      </c>
      <c r="K198" s="0">
        <v>48</v>
      </c>
      <c r="L198" s="0">
        <v>768</v>
      </c>
      <c r="M198" s="1">
        <f>=HYPERLINK("10.175.1.14\MWEB.12\BT\EntityDetails.10.175.1.14.MWEB.12.-newsplus-in.768.xlsx", "&lt;Detail&gt;")</f>
      </c>
      <c r="N198" s="1">
        <f>=HYPERLINK("10.175.1.14\MWEB.12\BT\MetricGraphs.BT.10.175.1.14.MWEB.12.xlsx", "&lt;Metrics&gt;")</f>
      </c>
      <c r="O198" s="1">
        <f>=HYPERLINK("10.175.1.14\MWEB.12\BT\FlameGraph.BT.10.175.1.14.MWEB.12.-newsplus-in.768.svg", "&lt;FlGraph&gt;")</f>
      </c>
      <c r="P198" s="1">
        <f>=HYPERLINK("10.175.1.14\MWEB.12\BT\FlameChart.BT.10.175.1.14.MWEB.12.-newsplus-in.768.svg", "&lt;FlChart&gt;")</f>
      </c>
      <c r="Q198" s="0" t="s">
        <v>101</v>
      </c>
      <c r="R198" s="0" t="s">
        <v>145</v>
      </c>
      <c r="S198" s="0" t="s">
        <v>193</v>
      </c>
      <c r="T198" s="0" t="s">
        <v>1310</v>
      </c>
    </row>
    <row r="199">
      <c r="A199" s="0" t="s">
        <v>28</v>
      </c>
      <c r="B199" s="0" t="s">
        <v>30</v>
      </c>
      <c r="C199" s="0" t="s">
        <v>192</v>
      </c>
      <c r="D199" s="0" t="s">
        <v>1185</v>
      </c>
      <c r="E199" s="0" t="s">
        <v>1185</v>
      </c>
      <c r="F199" s="0" t="b">
        <v>0</v>
      </c>
      <c r="G199" s="0" t="s">
        <v>1137</v>
      </c>
      <c r="H199" s="0" t="b">
        <v>0</v>
      </c>
      <c r="I199" s="0" t="s">
        <v>114</v>
      </c>
      <c r="J199" s="0">
        <v>12</v>
      </c>
      <c r="K199" s="0">
        <v>48</v>
      </c>
      <c r="L199" s="0">
        <v>903</v>
      </c>
      <c r="M199" s="1">
        <f>=HYPERLINK("10.175.1.14\MWEB.12\BT\EntityDetails.10.175.1.14.MWEB.12.-newsplus-le.903.xlsx", "&lt;Detail&gt;")</f>
      </c>
      <c r="N199" s="1">
        <f>=HYPERLINK("10.175.1.14\MWEB.12\BT\MetricGraphs.BT.10.175.1.14.MWEB.12.xlsx", "&lt;Metrics&gt;")</f>
      </c>
      <c r="O199" s="1">
        <f>=HYPERLINK("10.175.1.14\MWEB.12\BT\FlameGraph.BT.10.175.1.14.MWEB.12.-newsplus-le.903.svg", "&lt;FlGraph&gt;")</f>
      </c>
      <c r="P199" s="1">
        <f>=HYPERLINK("10.175.1.14\MWEB.12\BT\FlameChart.BT.10.175.1.14.MWEB.12.-newsplus-le.903.svg", "&lt;FlChart&gt;")</f>
      </c>
      <c r="Q199" s="0" t="s">
        <v>101</v>
      </c>
      <c r="R199" s="0" t="s">
        <v>145</v>
      </c>
      <c r="S199" s="0" t="s">
        <v>193</v>
      </c>
      <c r="T199" s="0" t="s">
        <v>1311</v>
      </c>
    </row>
    <row r="200">
      <c r="A200" s="0" t="s">
        <v>28</v>
      </c>
      <c r="B200" s="0" t="s">
        <v>30</v>
      </c>
      <c r="C200" s="0" t="s">
        <v>192</v>
      </c>
      <c r="D200" s="0" t="s">
        <v>1187</v>
      </c>
      <c r="E200" s="0" t="s">
        <v>1187</v>
      </c>
      <c r="F200" s="0" t="b">
        <v>0</v>
      </c>
      <c r="G200" s="0" t="s">
        <v>1137</v>
      </c>
      <c r="H200" s="0" t="b">
        <v>0</v>
      </c>
      <c r="I200" s="0" t="s">
        <v>114</v>
      </c>
      <c r="J200" s="0">
        <v>12</v>
      </c>
      <c r="K200" s="0">
        <v>48</v>
      </c>
      <c r="L200" s="0">
        <v>894</v>
      </c>
      <c r="M200" s="1">
        <f>=HYPERLINK("10.175.1.14\MWEB.12\BT\EntityDetails.10.175.1.14.MWEB.12.-newsplus-le.894.xlsx", "&lt;Detail&gt;")</f>
      </c>
      <c r="N200" s="1">
        <f>=HYPERLINK("10.175.1.14\MWEB.12\BT\MetricGraphs.BT.10.175.1.14.MWEB.12.xlsx", "&lt;Metrics&gt;")</f>
      </c>
      <c r="O200" s="1">
        <f>=HYPERLINK("10.175.1.14\MWEB.12\BT\FlameGraph.BT.10.175.1.14.MWEB.12.-newsplus-le.894.svg", "&lt;FlGraph&gt;")</f>
      </c>
      <c r="P200" s="1">
        <f>=HYPERLINK("10.175.1.14\MWEB.12\BT\FlameChart.BT.10.175.1.14.MWEB.12.-newsplus-le.894.svg", "&lt;FlChart&gt;")</f>
      </c>
      <c r="Q200" s="0" t="s">
        <v>101</v>
      </c>
      <c r="R200" s="0" t="s">
        <v>145</v>
      </c>
      <c r="S200" s="0" t="s">
        <v>193</v>
      </c>
      <c r="T200" s="0" t="s">
        <v>1312</v>
      </c>
    </row>
    <row r="201">
      <c r="A201" s="0" t="s">
        <v>28</v>
      </c>
      <c r="B201" s="0" t="s">
        <v>30</v>
      </c>
      <c r="C201" s="0" t="s">
        <v>192</v>
      </c>
      <c r="D201" s="0" t="s">
        <v>1189</v>
      </c>
      <c r="E201" s="0" t="s">
        <v>1189</v>
      </c>
      <c r="F201" s="0" t="b">
        <v>0</v>
      </c>
      <c r="G201" s="0" t="s">
        <v>1137</v>
      </c>
      <c r="H201" s="0" t="b">
        <v>0</v>
      </c>
      <c r="I201" s="0" t="s">
        <v>114</v>
      </c>
      <c r="J201" s="0">
        <v>12</v>
      </c>
      <c r="K201" s="0">
        <v>48</v>
      </c>
      <c r="L201" s="0">
        <v>689</v>
      </c>
      <c r="M201" s="1">
        <f>=HYPERLINK("10.175.1.14\MWEB.12\BT\EntityDetails.10.175.1.14.MWEB.12.-newsplus-li.689.xlsx", "&lt;Detail&gt;")</f>
      </c>
      <c r="N201" s="1">
        <f>=HYPERLINK("10.175.1.14\MWEB.12\BT\MetricGraphs.BT.10.175.1.14.MWEB.12.xlsx", "&lt;Metrics&gt;")</f>
      </c>
      <c r="O201" s="1">
        <f>=HYPERLINK("10.175.1.14\MWEB.12\BT\FlameGraph.BT.10.175.1.14.MWEB.12.-newsplus-li.689.svg", "&lt;FlGraph&gt;")</f>
      </c>
      <c r="P201" s="1">
        <f>=HYPERLINK("10.175.1.14\MWEB.12\BT\FlameChart.BT.10.175.1.14.MWEB.12.-newsplus-li.689.svg", "&lt;FlChart&gt;")</f>
      </c>
      <c r="Q201" s="0" t="s">
        <v>101</v>
      </c>
      <c r="R201" s="0" t="s">
        <v>145</v>
      </c>
      <c r="S201" s="0" t="s">
        <v>193</v>
      </c>
      <c r="T201" s="0" t="s">
        <v>1313</v>
      </c>
    </row>
    <row r="202">
      <c r="A202" s="0" t="s">
        <v>28</v>
      </c>
      <c r="B202" s="0" t="s">
        <v>30</v>
      </c>
      <c r="C202" s="0" t="s">
        <v>192</v>
      </c>
      <c r="D202" s="0" t="s">
        <v>1191</v>
      </c>
      <c r="E202" s="0" t="s">
        <v>1191</v>
      </c>
      <c r="F202" s="0" t="b">
        <v>0</v>
      </c>
      <c r="G202" s="0" t="s">
        <v>1137</v>
      </c>
      <c r="H202" s="0" t="b">
        <v>0</v>
      </c>
      <c r="I202" s="0" t="s">
        <v>114</v>
      </c>
      <c r="J202" s="0">
        <v>12</v>
      </c>
      <c r="K202" s="0">
        <v>48</v>
      </c>
      <c r="L202" s="0">
        <v>896</v>
      </c>
      <c r="M202" s="1">
        <f>=HYPERLINK("10.175.1.14\MWEB.12\BT\EntityDetails.10.175.1.14.MWEB.12.-newsplus-lo.896.xlsx", "&lt;Detail&gt;")</f>
      </c>
      <c r="N202" s="1">
        <f>=HYPERLINK("10.175.1.14\MWEB.12\BT\MetricGraphs.BT.10.175.1.14.MWEB.12.xlsx", "&lt;Metrics&gt;")</f>
      </c>
      <c r="O202" s="1">
        <f>=HYPERLINK("10.175.1.14\MWEB.12\BT\FlameGraph.BT.10.175.1.14.MWEB.12.-newsplus-lo.896.svg", "&lt;FlGraph&gt;")</f>
      </c>
      <c r="P202" s="1">
        <f>=HYPERLINK("10.175.1.14\MWEB.12\BT\FlameChart.BT.10.175.1.14.MWEB.12.-newsplus-lo.896.svg", "&lt;FlChart&gt;")</f>
      </c>
      <c r="Q202" s="0" t="s">
        <v>101</v>
      </c>
      <c r="R202" s="0" t="s">
        <v>145</v>
      </c>
      <c r="S202" s="0" t="s">
        <v>193</v>
      </c>
      <c r="T202" s="0" t="s">
        <v>1314</v>
      </c>
    </row>
    <row r="203">
      <c r="A203" s="0" t="s">
        <v>28</v>
      </c>
      <c r="B203" s="0" t="s">
        <v>30</v>
      </c>
      <c r="C203" s="0" t="s">
        <v>192</v>
      </c>
      <c r="D203" s="0" t="s">
        <v>1193</v>
      </c>
      <c r="E203" s="0" t="s">
        <v>1193</v>
      </c>
      <c r="F203" s="0" t="b">
        <v>0</v>
      </c>
      <c r="G203" s="0" t="s">
        <v>1137</v>
      </c>
      <c r="H203" s="0" t="b">
        <v>0</v>
      </c>
      <c r="I203" s="0" t="s">
        <v>114</v>
      </c>
      <c r="J203" s="0">
        <v>12</v>
      </c>
      <c r="K203" s="0">
        <v>48</v>
      </c>
      <c r="L203" s="0">
        <v>691</v>
      </c>
      <c r="M203" s="1">
        <f>=HYPERLINK("10.175.1.14\MWEB.12\BT\EntityDetails.10.175.1.14.MWEB.12.-newsplus-lo.691.xlsx", "&lt;Detail&gt;")</f>
      </c>
      <c r="N203" s="1">
        <f>=HYPERLINK("10.175.1.14\MWEB.12\BT\MetricGraphs.BT.10.175.1.14.MWEB.12.xlsx", "&lt;Metrics&gt;")</f>
      </c>
      <c r="O203" s="1">
        <f>=HYPERLINK("10.175.1.14\MWEB.12\BT\FlameGraph.BT.10.175.1.14.MWEB.12.-newsplus-lo.691.svg", "&lt;FlGraph&gt;")</f>
      </c>
      <c r="P203" s="1">
        <f>=HYPERLINK("10.175.1.14\MWEB.12\BT\FlameChart.BT.10.175.1.14.MWEB.12.-newsplus-lo.691.svg", "&lt;FlChart&gt;")</f>
      </c>
      <c r="Q203" s="0" t="s">
        <v>101</v>
      </c>
      <c r="R203" s="0" t="s">
        <v>145</v>
      </c>
      <c r="S203" s="0" t="s">
        <v>193</v>
      </c>
      <c r="T203" s="0" t="s">
        <v>1315</v>
      </c>
    </row>
    <row r="204">
      <c r="A204" s="0" t="s">
        <v>28</v>
      </c>
      <c r="B204" s="0" t="s">
        <v>30</v>
      </c>
      <c r="C204" s="0" t="s">
        <v>192</v>
      </c>
      <c r="D204" s="0" t="s">
        <v>1195</v>
      </c>
      <c r="E204" s="0" t="s">
        <v>1195</v>
      </c>
      <c r="F204" s="0" t="b">
        <v>0</v>
      </c>
      <c r="G204" s="0" t="s">
        <v>1137</v>
      </c>
      <c r="H204" s="0" t="b">
        <v>0</v>
      </c>
      <c r="I204" s="0" t="s">
        <v>114</v>
      </c>
      <c r="J204" s="0">
        <v>12</v>
      </c>
      <c r="K204" s="0">
        <v>48</v>
      </c>
      <c r="L204" s="0">
        <v>719</v>
      </c>
      <c r="M204" s="1">
        <f>=HYPERLINK("10.175.1.14\MWEB.12\BT\EntityDetails.10.175.1.14.MWEB.12.-newsplus-lo.719.xlsx", "&lt;Detail&gt;")</f>
      </c>
      <c r="N204" s="1">
        <f>=HYPERLINK("10.175.1.14\MWEB.12\BT\MetricGraphs.BT.10.175.1.14.MWEB.12.xlsx", "&lt;Metrics&gt;")</f>
      </c>
      <c r="O204" s="1">
        <f>=HYPERLINK("10.175.1.14\MWEB.12\BT\FlameGraph.BT.10.175.1.14.MWEB.12.-newsplus-lo.719.svg", "&lt;FlGraph&gt;")</f>
      </c>
      <c r="P204" s="1">
        <f>=HYPERLINK("10.175.1.14\MWEB.12\BT\FlameChart.BT.10.175.1.14.MWEB.12.-newsplus-lo.719.svg", "&lt;FlChart&gt;")</f>
      </c>
      <c r="Q204" s="0" t="s">
        <v>101</v>
      </c>
      <c r="R204" s="0" t="s">
        <v>145</v>
      </c>
      <c r="S204" s="0" t="s">
        <v>193</v>
      </c>
      <c r="T204" s="0" t="s">
        <v>1316</v>
      </c>
    </row>
    <row r="205">
      <c r="A205" s="0" t="s">
        <v>28</v>
      </c>
      <c r="B205" s="0" t="s">
        <v>30</v>
      </c>
      <c r="C205" s="0" t="s">
        <v>192</v>
      </c>
      <c r="D205" s="0" t="s">
        <v>1205</v>
      </c>
      <c r="E205" s="0" t="s">
        <v>1205</v>
      </c>
      <c r="F205" s="0" t="b">
        <v>0</v>
      </c>
      <c r="G205" s="0" t="s">
        <v>1137</v>
      </c>
      <c r="H205" s="0" t="b">
        <v>0</v>
      </c>
      <c r="I205" s="0" t="s">
        <v>114</v>
      </c>
      <c r="J205" s="0">
        <v>12</v>
      </c>
      <c r="K205" s="0">
        <v>48</v>
      </c>
      <c r="L205" s="0">
        <v>721</v>
      </c>
      <c r="M205" s="1">
        <f>=HYPERLINK("10.175.1.14\MWEB.12\BT\EntityDetails.10.175.1.14.MWEB.12.-newsplus-re.721.xlsx", "&lt;Detail&gt;")</f>
      </c>
      <c r="N205" s="1">
        <f>=HYPERLINK("10.175.1.14\MWEB.12\BT\MetricGraphs.BT.10.175.1.14.MWEB.12.xlsx", "&lt;Metrics&gt;")</f>
      </c>
      <c r="O205" s="1">
        <f>=HYPERLINK("10.175.1.14\MWEB.12\BT\FlameGraph.BT.10.175.1.14.MWEB.12.-newsplus-re.721.svg", "&lt;FlGraph&gt;")</f>
      </c>
      <c r="P205" s="1">
        <f>=HYPERLINK("10.175.1.14\MWEB.12\BT\FlameChart.BT.10.175.1.14.MWEB.12.-newsplus-re.721.svg", "&lt;FlChart&gt;")</f>
      </c>
      <c r="Q205" s="0" t="s">
        <v>101</v>
      </c>
      <c r="R205" s="0" t="s">
        <v>145</v>
      </c>
      <c r="S205" s="0" t="s">
        <v>193</v>
      </c>
      <c r="T205" s="0" t="s">
        <v>1317</v>
      </c>
    </row>
    <row r="206">
      <c r="A206" s="0" t="s">
        <v>28</v>
      </c>
      <c r="B206" s="0" t="s">
        <v>30</v>
      </c>
      <c r="C206" s="0" t="s">
        <v>192</v>
      </c>
      <c r="D206" s="0" t="s">
        <v>1209</v>
      </c>
      <c r="E206" s="0" t="s">
        <v>1209</v>
      </c>
      <c r="F206" s="0" t="b">
        <v>0</v>
      </c>
      <c r="G206" s="0" t="s">
        <v>1137</v>
      </c>
      <c r="H206" s="0" t="b">
        <v>0</v>
      </c>
      <c r="I206" s="0" t="s">
        <v>114</v>
      </c>
      <c r="J206" s="0">
        <v>12</v>
      </c>
      <c r="K206" s="0">
        <v>48</v>
      </c>
      <c r="L206" s="0">
        <v>722</v>
      </c>
      <c r="M206" s="1">
        <f>=HYPERLINK("10.175.1.14\MWEB.12\BT\EntityDetails.10.175.1.14.MWEB.12.-newsplus-re.722.xlsx", "&lt;Detail&gt;")</f>
      </c>
      <c r="N206" s="1">
        <f>=HYPERLINK("10.175.1.14\MWEB.12\BT\MetricGraphs.BT.10.175.1.14.MWEB.12.xlsx", "&lt;Metrics&gt;")</f>
      </c>
      <c r="O206" s="1">
        <f>=HYPERLINK("10.175.1.14\MWEB.12\BT\FlameGraph.BT.10.175.1.14.MWEB.12.-newsplus-re.722.svg", "&lt;FlGraph&gt;")</f>
      </c>
      <c r="P206" s="1">
        <f>=HYPERLINK("10.175.1.14\MWEB.12\BT\FlameChart.BT.10.175.1.14.MWEB.12.-newsplus-re.722.svg", "&lt;FlChart&gt;")</f>
      </c>
      <c r="Q206" s="0" t="s">
        <v>101</v>
      </c>
      <c r="R206" s="0" t="s">
        <v>145</v>
      </c>
      <c r="S206" s="0" t="s">
        <v>193</v>
      </c>
      <c r="T206" s="0" t="s">
        <v>1318</v>
      </c>
    </row>
    <row r="207">
      <c r="A207" s="0" t="s">
        <v>28</v>
      </c>
      <c r="B207" s="0" t="s">
        <v>30</v>
      </c>
      <c r="C207" s="0" t="s">
        <v>192</v>
      </c>
      <c r="D207" s="0" t="s">
        <v>1221</v>
      </c>
      <c r="E207" s="0" t="s">
        <v>1221</v>
      </c>
      <c r="F207" s="0" t="b">
        <v>0</v>
      </c>
      <c r="G207" s="0" t="s">
        <v>1137</v>
      </c>
      <c r="H207" s="0" t="b">
        <v>0</v>
      </c>
      <c r="I207" s="0" t="s">
        <v>114</v>
      </c>
      <c r="J207" s="0">
        <v>12</v>
      </c>
      <c r="K207" s="0">
        <v>48</v>
      </c>
      <c r="L207" s="0">
        <v>899</v>
      </c>
      <c r="M207" s="1">
        <f>=HYPERLINK("10.175.1.14\MWEB.12\BT\EntityDetails.10.175.1.14.MWEB.12.-newsplus-rw.899.xlsx", "&lt;Detail&gt;")</f>
      </c>
      <c r="N207" s="1">
        <f>=HYPERLINK("10.175.1.14\MWEB.12\BT\MetricGraphs.BT.10.175.1.14.MWEB.12.xlsx", "&lt;Metrics&gt;")</f>
      </c>
      <c r="O207" s="1">
        <f>=HYPERLINK("10.175.1.14\MWEB.12\BT\FlameGraph.BT.10.175.1.14.MWEB.12.-newsplus-rw.899.svg", "&lt;FlGraph&gt;")</f>
      </c>
      <c r="P207" s="1">
        <f>=HYPERLINK("10.175.1.14\MWEB.12\BT\FlameChart.BT.10.175.1.14.MWEB.12.-newsplus-rw.899.svg", "&lt;FlChart&gt;")</f>
      </c>
      <c r="Q207" s="0" t="s">
        <v>101</v>
      </c>
      <c r="R207" s="0" t="s">
        <v>145</v>
      </c>
      <c r="S207" s="0" t="s">
        <v>193</v>
      </c>
      <c r="T207" s="0" t="s">
        <v>1319</v>
      </c>
    </row>
    <row r="208">
      <c r="A208" s="0" t="s">
        <v>28</v>
      </c>
      <c r="B208" s="0" t="s">
        <v>30</v>
      </c>
      <c r="C208" s="0" t="s">
        <v>192</v>
      </c>
      <c r="D208" s="0" t="s">
        <v>1227</v>
      </c>
      <c r="E208" s="0" t="s">
        <v>1227</v>
      </c>
      <c r="F208" s="0" t="b">
        <v>0</v>
      </c>
      <c r="G208" s="0" t="s">
        <v>1137</v>
      </c>
      <c r="H208" s="0" t="b">
        <v>0</v>
      </c>
      <c r="I208" s="0" t="s">
        <v>114</v>
      </c>
      <c r="J208" s="0">
        <v>12</v>
      </c>
      <c r="K208" s="0">
        <v>48</v>
      </c>
      <c r="L208" s="0">
        <v>723</v>
      </c>
      <c r="M208" s="1">
        <f>=HYPERLINK("10.175.1.14\MWEB.12\BT\EntityDetails.10.175.1.14.MWEB.12.-newsplus-se.723.xlsx", "&lt;Detail&gt;")</f>
      </c>
      <c r="N208" s="1">
        <f>=HYPERLINK("10.175.1.14\MWEB.12\BT\MetricGraphs.BT.10.175.1.14.MWEB.12.xlsx", "&lt;Metrics&gt;")</f>
      </c>
      <c r="O208" s="1">
        <f>=HYPERLINK("10.175.1.14\MWEB.12\BT\FlameGraph.BT.10.175.1.14.MWEB.12.-newsplus-se.723.svg", "&lt;FlGraph&gt;")</f>
      </c>
      <c r="P208" s="1">
        <f>=HYPERLINK("10.175.1.14\MWEB.12\BT\FlameChart.BT.10.175.1.14.MWEB.12.-newsplus-se.723.svg", "&lt;FlChart&gt;")</f>
      </c>
      <c r="Q208" s="0" t="s">
        <v>101</v>
      </c>
      <c r="R208" s="0" t="s">
        <v>145</v>
      </c>
      <c r="S208" s="0" t="s">
        <v>193</v>
      </c>
      <c r="T208" s="0" t="s">
        <v>1320</v>
      </c>
    </row>
    <row r="209">
      <c r="A209" s="0" t="s">
        <v>28</v>
      </c>
      <c r="B209" s="0" t="s">
        <v>30</v>
      </c>
      <c r="C209" s="0" t="s">
        <v>192</v>
      </c>
      <c r="D209" s="0" t="s">
        <v>1229</v>
      </c>
      <c r="E209" s="0" t="s">
        <v>1229</v>
      </c>
      <c r="F209" s="0" t="b">
        <v>0</v>
      </c>
      <c r="G209" s="0" t="s">
        <v>1137</v>
      </c>
      <c r="H209" s="0" t="b">
        <v>0</v>
      </c>
      <c r="I209" s="0" t="s">
        <v>114</v>
      </c>
      <c r="J209" s="0">
        <v>12</v>
      </c>
      <c r="K209" s="0">
        <v>48</v>
      </c>
      <c r="L209" s="0">
        <v>902</v>
      </c>
      <c r="M209" s="1">
        <f>=HYPERLINK("10.175.1.14\MWEB.12\BT\EntityDetails.10.175.1.14.MWEB.12.-newsplus-sh.902.xlsx", "&lt;Detail&gt;")</f>
      </c>
      <c r="N209" s="1">
        <f>=HYPERLINK("10.175.1.14\MWEB.12\BT\MetricGraphs.BT.10.175.1.14.MWEB.12.xlsx", "&lt;Metrics&gt;")</f>
      </c>
      <c r="O209" s="1">
        <f>=HYPERLINK("10.175.1.14\MWEB.12\BT\FlameGraph.BT.10.175.1.14.MWEB.12.-newsplus-sh.902.svg", "&lt;FlGraph&gt;")</f>
      </c>
      <c r="P209" s="1">
        <f>=HYPERLINK("10.175.1.14\MWEB.12\BT\FlameChart.BT.10.175.1.14.MWEB.12.-newsplus-sh.902.svg", "&lt;FlChart&gt;")</f>
      </c>
      <c r="Q209" s="0" t="s">
        <v>101</v>
      </c>
      <c r="R209" s="0" t="s">
        <v>145</v>
      </c>
      <c r="S209" s="0" t="s">
        <v>193</v>
      </c>
      <c r="T209" s="0" t="s">
        <v>1321</v>
      </c>
    </row>
    <row r="210">
      <c r="A210" s="0" t="s">
        <v>28</v>
      </c>
      <c r="B210" s="0" t="s">
        <v>30</v>
      </c>
      <c r="C210" s="0" t="s">
        <v>192</v>
      </c>
      <c r="D210" s="0" t="s">
        <v>1239</v>
      </c>
      <c r="E210" s="0" t="s">
        <v>1239</v>
      </c>
      <c r="F210" s="0" t="b">
        <v>0</v>
      </c>
      <c r="G210" s="0" t="s">
        <v>1137</v>
      </c>
      <c r="H210" s="0" t="b">
        <v>0</v>
      </c>
      <c r="I210" s="0" t="s">
        <v>114</v>
      </c>
      <c r="J210" s="0">
        <v>12</v>
      </c>
      <c r="K210" s="0">
        <v>48</v>
      </c>
      <c r="L210" s="0">
        <v>912</v>
      </c>
      <c r="M210" s="1">
        <f>=HYPERLINK("10.175.1.14\MWEB.12\BT\EntityDetails.10.175.1.14.MWEB.12.-newsplus-ts.912.xlsx", "&lt;Detail&gt;")</f>
      </c>
      <c r="N210" s="1">
        <f>=HYPERLINK("10.175.1.14\MWEB.12\BT\MetricGraphs.BT.10.175.1.14.MWEB.12.xlsx", "&lt;Metrics&gt;")</f>
      </c>
      <c r="O210" s="1">
        <f>=HYPERLINK("10.175.1.14\MWEB.12\BT\FlameGraph.BT.10.175.1.14.MWEB.12.-newsplus-ts.912.svg", "&lt;FlGraph&gt;")</f>
      </c>
      <c r="P210" s="1">
        <f>=HYPERLINK("10.175.1.14\MWEB.12\BT\FlameChart.BT.10.175.1.14.MWEB.12.-newsplus-ts.912.svg", "&lt;FlChart&gt;")</f>
      </c>
      <c r="Q210" s="0" t="s">
        <v>101</v>
      </c>
      <c r="R210" s="0" t="s">
        <v>145</v>
      </c>
      <c r="S210" s="0" t="s">
        <v>193</v>
      </c>
      <c r="T210" s="0" t="s">
        <v>1322</v>
      </c>
    </row>
    <row r="211">
      <c r="A211" s="0" t="s">
        <v>28</v>
      </c>
      <c r="B211" s="0" t="s">
        <v>30</v>
      </c>
      <c r="C211" s="0" t="s">
        <v>192</v>
      </c>
      <c r="D211" s="0" t="s">
        <v>1241</v>
      </c>
      <c r="E211" s="0" t="s">
        <v>1241</v>
      </c>
      <c r="F211" s="0" t="b">
        <v>0</v>
      </c>
      <c r="G211" s="0" t="s">
        <v>1137</v>
      </c>
      <c r="H211" s="0" t="b">
        <v>0</v>
      </c>
      <c r="I211" s="0" t="s">
        <v>114</v>
      </c>
      <c r="J211" s="0">
        <v>12</v>
      </c>
      <c r="K211" s="0">
        <v>48</v>
      </c>
      <c r="L211" s="0">
        <v>788</v>
      </c>
      <c r="M211" s="1">
        <f>=HYPERLINK("10.175.1.14\MWEB.12\BT\EntityDetails.10.175.1.14.MWEB.12.-newsplus-va.788.xlsx", "&lt;Detail&gt;")</f>
      </c>
      <c r="N211" s="1">
        <f>=HYPERLINK("10.175.1.14\MWEB.12\BT\MetricGraphs.BT.10.175.1.14.MWEB.12.xlsx", "&lt;Metrics&gt;")</f>
      </c>
      <c r="O211" s="1">
        <f>=HYPERLINK("10.175.1.14\MWEB.12\BT\FlameGraph.BT.10.175.1.14.MWEB.12.-newsplus-va.788.svg", "&lt;FlGraph&gt;")</f>
      </c>
      <c r="P211" s="1">
        <f>=HYPERLINK("10.175.1.14\MWEB.12\BT\FlameChart.BT.10.175.1.14.MWEB.12.-newsplus-va.788.svg", "&lt;FlChart&gt;")</f>
      </c>
      <c r="Q211" s="0" t="s">
        <v>101</v>
      </c>
      <c r="R211" s="0" t="s">
        <v>145</v>
      </c>
      <c r="S211" s="0" t="s">
        <v>193</v>
      </c>
      <c r="T211" s="0" t="s">
        <v>1323</v>
      </c>
    </row>
    <row r="212">
      <c r="A212" s="0" t="s">
        <v>28</v>
      </c>
      <c r="B212" s="0" t="s">
        <v>30</v>
      </c>
      <c r="C212" s="0" t="s">
        <v>192</v>
      </c>
      <c r="D212" s="0" t="s">
        <v>1245</v>
      </c>
      <c r="E212" s="0" t="s">
        <v>1245</v>
      </c>
      <c r="F212" s="0" t="b">
        <v>0</v>
      </c>
      <c r="G212" s="0" t="s">
        <v>1137</v>
      </c>
      <c r="H212" s="0" t="b">
        <v>0</v>
      </c>
      <c r="I212" s="0" t="s">
        <v>114</v>
      </c>
      <c r="J212" s="0">
        <v>12</v>
      </c>
      <c r="K212" s="0">
        <v>48</v>
      </c>
      <c r="L212" s="0">
        <v>716</v>
      </c>
      <c r="M212" s="1">
        <f>=HYPERLINK("10.175.1.14\MWEB.12\BT\EntityDetails.10.175.1.14.MWEB.12.-newsplus-vi.716.xlsx", "&lt;Detail&gt;")</f>
      </c>
      <c r="N212" s="1">
        <f>=HYPERLINK("10.175.1.14\MWEB.12\BT\MetricGraphs.BT.10.175.1.14.MWEB.12.xlsx", "&lt;Metrics&gt;")</f>
      </c>
      <c r="O212" s="1">
        <f>=HYPERLINK("10.175.1.14\MWEB.12\BT\FlameGraph.BT.10.175.1.14.MWEB.12.-newsplus-vi.716.svg", "&lt;FlGraph&gt;")</f>
      </c>
      <c r="P212" s="1">
        <f>=HYPERLINK("10.175.1.14\MWEB.12\BT\FlameChart.BT.10.175.1.14.MWEB.12.-newsplus-vi.716.svg", "&lt;FlChart&gt;")</f>
      </c>
      <c r="Q212" s="0" t="s">
        <v>101</v>
      </c>
      <c r="R212" s="0" t="s">
        <v>145</v>
      </c>
      <c r="S212" s="0" t="s">
        <v>193</v>
      </c>
      <c r="T212" s="0" t="s">
        <v>1324</v>
      </c>
    </row>
    <row r="213">
      <c r="A213" s="0" t="s">
        <v>28</v>
      </c>
      <c r="B213" s="0" t="s">
        <v>30</v>
      </c>
      <c r="C213" s="0" t="s">
        <v>192</v>
      </c>
      <c r="D213" s="0" t="s">
        <v>1249</v>
      </c>
      <c r="E213" s="0" t="s">
        <v>1249</v>
      </c>
      <c r="F213" s="0" t="b">
        <v>0</v>
      </c>
      <c r="G213" s="0" t="s">
        <v>1137</v>
      </c>
      <c r="H213" s="0" t="b">
        <v>0</v>
      </c>
      <c r="I213" s="0" t="s">
        <v>114</v>
      </c>
      <c r="J213" s="0">
        <v>12</v>
      </c>
      <c r="K213" s="0">
        <v>48</v>
      </c>
      <c r="L213" s="0">
        <v>686</v>
      </c>
      <c r="M213" s="1">
        <f>=HYPERLINK("10.175.1.14\MWEB.12\BT\EntityDetails.10.175.1.14.MWEB.12.-newsplus-vi.686.xlsx", "&lt;Detail&gt;")</f>
      </c>
      <c r="N213" s="1">
        <f>=HYPERLINK("10.175.1.14\MWEB.12\BT\MetricGraphs.BT.10.175.1.14.MWEB.12.xlsx", "&lt;Metrics&gt;")</f>
      </c>
      <c r="O213" s="1">
        <f>=HYPERLINK("10.175.1.14\MWEB.12\BT\FlameGraph.BT.10.175.1.14.MWEB.12.-newsplus-vi.686.svg", "&lt;FlGraph&gt;")</f>
      </c>
      <c r="P213" s="1">
        <f>=HYPERLINK("10.175.1.14\MWEB.12\BT\FlameChart.BT.10.175.1.14.MWEB.12.-newsplus-vi.686.svg", "&lt;FlChart&gt;")</f>
      </c>
      <c r="Q213" s="0" t="s">
        <v>101</v>
      </c>
      <c r="R213" s="0" t="s">
        <v>145</v>
      </c>
      <c r="S213" s="0" t="s">
        <v>193</v>
      </c>
      <c r="T213" s="0" t="s">
        <v>1325</v>
      </c>
    </row>
    <row r="214">
      <c r="A214" s="0" t="s">
        <v>28</v>
      </c>
      <c r="B214" s="0" t="s">
        <v>30</v>
      </c>
      <c r="C214" s="0" t="s">
        <v>192</v>
      </c>
      <c r="D214" s="0" t="s">
        <v>1326</v>
      </c>
      <c r="E214" s="0" t="s">
        <v>1326</v>
      </c>
      <c r="F214" s="0" t="b">
        <v>0</v>
      </c>
      <c r="G214" s="0" t="s">
        <v>1137</v>
      </c>
      <c r="H214" s="0" t="b">
        <v>0</v>
      </c>
      <c r="I214" s="0" t="s">
        <v>114</v>
      </c>
      <c r="J214" s="0">
        <v>12</v>
      </c>
      <c r="K214" s="0">
        <v>48</v>
      </c>
      <c r="L214" s="0">
        <v>931</v>
      </c>
      <c r="M214" s="1">
        <f>=HYPERLINK("10.175.1.14\MWEB.12\BT\EntityDetails.10.175.1.14.MWEB.12.-servlet-Sno.931.xlsx", "&lt;Detail&gt;")</f>
      </c>
      <c r="N214" s="1">
        <f>=HYPERLINK("10.175.1.14\MWEB.12\BT\MetricGraphs.BT.10.175.1.14.MWEB.12.xlsx", "&lt;Metrics&gt;")</f>
      </c>
      <c r="O214" s="1">
        <f>=HYPERLINK("10.175.1.14\MWEB.12\BT\FlameGraph.BT.10.175.1.14.MWEB.12.-servlet-Sno.931.svg", "&lt;FlGraph&gt;")</f>
      </c>
      <c r="P214" s="1">
        <f>=HYPERLINK("10.175.1.14\MWEB.12\BT\FlameChart.BT.10.175.1.14.MWEB.12.-servlet-Sno.931.svg", "&lt;FlChart&gt;")</f>
      </c>
      <c r="Q214" s="0" t="s">
        <v>101</v>
      </c>
      <c r="R214" s="0" t="s">
        <v>145</v>
      </c>
      <c r="S214" s="0" t="s">
        <v>193</v>
      </c>
      <c r="T214" s="0" t="s">
        <v>1327</v>
      </c>
    </row>
    <row r="215">
      <c r="A215" s="0" t="s">
        <v>28</v>
      </c>
      <c r="B215" s="0" t="s">
        <v>30</v>
      </c>
      <c r="C215" s="0" t="s">
        <v>192</v>
      </c>
      <c r="D215" s="0" t="s">
        <v>1328</v>
      </c>
      <c r="E215" s="0" t="s">
        <v>1328</v>
      </c>
      <c r="F215" s="0" t="b">
        <v>0</v>
      </c>
      <c r="G215" s="0" t="s">
        <v>1137</v>
      </c>
      <c r="H215" s="0" t="b">
        <v>0</v>
      </c>
      <c r="I215" s="0" t="s">
        <v>114</v>
      </c>
      <c r="J215" s="0">
        <v>12</v>
      </c>
      <c r="K215" s="0">
        <v>48</v>
      </c>
      <c r="L215" s="0">
        <v>928</v>
      </c>
      <c r="M215" s="1">
        <f>=HYPERLINK("10.175.1.14\MWEB.12\BT\EntityDetails.10.175.1.14.MWEB.12.-SnoopServle.928.xlsx", "&lt;Detail&gt;")</f>
      </c>
      <c r="N215" s="1">
        <f>=HYPERLINK("10.175.1.14\MWEB.12\BT\MetricGraphs.BT.10.175.1.14.MWEB.12.xlsx", "&lt;Metrics&gt;")</f>
      </c>
      <c r="O215" s="1">
        <f>=HYPERLINK("10.175.1.14\MWEB.12\BT\FlameGraph.BT.10.175.1.14.MWEB.12.-SnoopServle.928.svg", "&lt;FlGraph&gt;")</f>
      </c>
      <c r="P215" s="1">
        <f>=HYPERLINK("10.175.1.14\MWEB.12\BT\FlameChart.BT.10.175.1.14.MWEB.12.-SnoopServle.928.svg", "&lt;FlChart&gt;")</f>
      </c>
      <c r="Q215" s="0" t="s">
        <v>101</v>
      </c>
      <c r="R215" s="0" t="s">
        <v>145</v>
      </c>
      <c r="S215" s="0" t="s">
        <v>193</v>
      </c>
      <c r="T215" s="0" t="s">
        <v>1329</v>
      </c>
    </row>
    <row r="216">
      <c r="A216" s="0" t="s">
        <v>28</v>
      </c>
      <c r="B216" s="0" t="s">
        <v>30</v>
      </c>
      <c r="C216" s="0" t="s">
        <v>192</v>
      </c>
      <c r="D216" s="0" t="s">
        <v>1330</v>
      </c>
      <c r="E216" s="0" t="s">
        <v>1330</v>
      </c>
      <c r="F216" s="0" t="b">
        <v>0</v>
      </c>
      <c r="G216" s="0" t="s">
        <v>1137</v>
      </c>
      <c r="H216" s="0" t="b">
        <v>0</v>
      </c>
      <c r="I216" s="0" t="s">
        <v>114</v>
      </c>
      <c r="J216" s="0">
        <v>12</v>
      </c>
      <c r="K216" s="0">
        <v>48</v>
      </c>
      <c r="L216" s="0">
        <v>934</v>
      </c>
      <c r="M216" s="1">
        <f>=HYPERLINK("10.175.1.14\MWEB.12\BT\EntityDetails.10.175.1.14.MWEB.12.-tmui-.934.xlsx", "&lt;Detail&gt;")</f>
      </c>
      <c r="N216" s="1">
        <f>=HYPERLINK("10.175.1.14\MWEB.12\BT\MetricGraphs.BT.10.175.1.14.MWEB.12.xlsx", "&lt;Metrics&gt;")</f>
      </c>
      <c r="O216" s="1">
        <f>=HYPERLINK("10.175.1.14\MWEB.12\BT\FlameGraph.BT.10.175.1.14.MWEB.12.-tmui-.934.svg", "&lt;FlGraph&gt;")</f>
      </c>
      <c r="P216" s="1">
        <f>=HYPERLINK("10.175.1.14\MWEB.12\BT\FlameChart.BT.10.175.1.14.MWEB.12.-tmui-.934.svg", "&lt;FlChart&gt;")</f>
      </c>
      <c r="Q216" s="0" t="s">
        <v>101</v>
      </c>
      <c r="R216" s="0" t="s">
        <v>145</v>
      </c>
      <c r="S216" s="0" t="s">
        <v>193</v>
      </c>
      <c r="T216" s="0" t="s">
        <v>1331</v>
      </c>
    </row>
    <row r="217">
      <c r="A217" s="0" t="s">
        <v>28</v>
      </c>
      <c r="B217" s="0" t="s">
        <v>30</v>
      </c>
      <c r="C217" s="0" t="s">
        <v>192</v>
      </c>
      <c r="D217" s="0" t="s">
        <v>1030</v>
      </c>
      <c r="E217" s="0" t="s">
        <v>1030</v>
      </c>
      <c r="F217" s="0" t="b">
        <v>0</v>
      </c>
      <c r="G217" s="0" t="s">
        <v>1031</v>
      </c>
      <c r="H217" s="0" t="b">
        <v>0</v>
      </c>
      <c r="I217" s="0" t="s">
        <v>114</v>
      </c>
      <c r="J217" s="0">
        <v>12</v>
      </c>
      <c r="K217" s="0">
        <v>48</v>
      </c>
      <c r="L217" s="0">
        <v>618</v>
      </c>
      <c r="M217" s="1">
        <f>=HYPERLINK("10.175.1.14\MWEB.12\BT\EntityDetails.10.175.1.14.MWEB.12._APPDYNAMICS.618.xlsx", "&lt;Detail&gt;")</f>
      </c>
      <c r="N217" s="1">
        <f>=HYPERLINK("10.175.1.14\MWEB.12\BT\MetricGraphs.BT.10.175.1.14.MWEB.12.xlsx", "&lt;Metrics&gt;")</f>
      </c>
      <c r="O217" s="1">
        <f>=HYPERLINK("10.175.1.14\MWEB.12\BT\FlameGraph.BT.10.175.1.14.MWEB.12._APPDYNAMICS.618.svg", "&lt;FlGraph&gt;")</f>
      </c>
      <c r="P217" s="1">
        <f>=HYPERLINK("10.175.1.14\MWEB.12\BT\FlameChart.BT.10.175.1.14.MWEB.12._APPDYNAMICS.618.svg", "&lt;FlChart&gt;")</f>
      </c>
      <c r="Q217" s="0" t="s">
        <v>101</v>
      </c>
      <c r="R217" s="0" t="s">
        <v>145</v>
      </c>
      <c r="S217" s="0" t="s">
        <v>193</v>
      </c>
      <c r="T217" s="0" t="s">
        <v>1332</v>
      </c>
    </row>
    <row r="218">
      <c r="A218" s="0" t="s">
        <v>28</v>
      </c>
      <c r="B218" s="0" t="s">
        <v>30</v>
      </c>
      <c r="C218" s="0" t="s">
        <v>194</v>
      </c>
      <c r="D218" s="0" t="s">
        <v>1255</v>
      </c>
      <c r="E218" s="0" t="s">
        <v>1255</v>
      </c>
      <c r="F218" s="0" t="b">
        <v>0</v>
      </c>
      <c r="G218" s="0" t="s">
        <v>976</v>
      </c>
      <c r="H218" s="0" t="b">
        <v>0</v>
      </c>
      <c r="I218" s="0" t="s">
        <v>114</v>
      </c>
      <c r="J218" s="0">
        <v>12</v>
      </c>
      <c r="K218" s="0">
        <v>55</v>
      </c>
      <c r="L218" s="0">
        <v>718</v>
      </c>
      <c r="M218" s="1">
        <f>=HYPERLINK("10.175.1.14\MWEB.12\BT\EntityDetails.10.175.1.14.MWEB.12.-bea_wls_int.718.xlsx", "&lt;Detail&gt;")</f>
      </c>
      <c r="N218" s="1">
        <f>=HYPERLINK("10.175.1.14\MWEB.12\BT\MetricGraphs.BT.10.175.1.14.MWEB.12.xlsx", "&lt;Metrics&gt;")</f>
      </c>
      <c r="O218" s="1">
        <f>=HYPERLINK("10.175.1.14\MWEB.12\BT\FlameGraph.BT.10.175.1.14.MWEB.12.-bea_wls_int.718.svg", "&lt;FlGraph&gt;")</f>
      </c>
      <c r="P218" s="1">
        <f>=HYPERLINK("10.175.1.14\MWEB.12\BT\FlameChart.BT.10.175.1.14.MWEB.12.-bea_wls_int.718.svg", "&lt;FlChart&gt;")</f>
      </c>
      <c r="Q218" s="0" t="s">
        <v>101</v>
      </c>
      <c r="R218" s="0" t="s">
        <v>145</v>
      </c>
      <c r="S218" s="0" t="s">
        <v>195</v>
      </c>
      <c r="T218" s="0" t="s">
        <v>1333</v>
      </c>
    </row>
    <row r="219">
      <c r="A219" s="0" t="s">
        <v>28</v>
      </c>
      <c r="B219" s="0" t="s">
        <v>30</v>
      </c>
      <c r="C219" s="0" t="s">
        <v>194</v>
      </c>
      <c r="D219" s="0" t="s">
        <v>1022</v>
      </c>
      <c r="E219" s="0" t="s">
        <v>1022</v>
      </c>
      <c r="F219" s="0" t="b">
        <v>0</v>
      </c>
      <c r="G219" s="0" t="s">
        <v>976</v>
      </c>
      <c r="H219" s="0" t="b">
        <v>0</v>
      </c>
      <c r="I219" s="0" t="s">
        <v>114</v>
      </c>
      <c r="J219" s="0">
        <v>12</v>
      </c>
      <c r="K219" s="0">
        <v>55</v>
      </c>
      <c r="L219" s="0">
        <v>706</v>
      </c>
      <c r="M219" s="1">
        <f>=HYPERLINK("10.175.1.14\MWEB.12\BT\EntityDetails.10.175.1.14.MWEB.12.-IPJSETTLEME.706.xlsx", "&lt;Detail&gt;")</f>
      </c>
      <c r="N219" s="1">
        <f>=HYPERLINK("10.175.1.14\MWEB.12\BT\MetricGraphs.BT.10.175.1.14.MWEB.12.xlsx", "&lt;Metrics&gt;")</f>
      </c>
      <c r="O219" s="1">
        <f>=HYPERLINK("10.175.1.14\MWEB.12\BT\FlameGraph.BT.10.175.1.14.MWEB.12.-IPJSETTLEME.706.svg", "&lt;FlGraph&gt;")</f>
      </c>
      <c r="P219" s="1">
        <f>=HYPERLINK("10.175.1.14\MWEB.12\BT\FlameChart.BT.10.175.1.14.MWEB.12.-IPJSETTLEME.706.svg", "&lt;FlChart&gt;")</f>
      </c>
      <c r="Q219" s="0" t="s">
        <v>101</v>
      </c>
      <c r="R219" s="0" t="s">
        <v>145</v>
      </c>
      <c r="S219" s="0" t="s">
        <v>195</v>
      </c>
      <c r="T219" s="0" t="s">
        <v>1334</v>
      </c>
    </row>
    <row r="220">
      <c r="A220" s="0" t="s">
        <v>28</v>
      </c>
      <c r="B220" s="0" t="s">
        <v>30</v>
      </c>
      <c r="C220" s="0" t="s">
        <v>194</v>
      </c>
      <c r="D220" s="0" t="s">
        <v>1030</v>
      </c>
      <c r="E220" s="0" t="s">
        <v>1030</v>
      </c>
      <c r="F220" s="0" t="b">
        <v>0</v>
      </c>
      <c r="G220" s="0" t="s">
        <v>1031</v>
      </c>
      <c r="H220" s="0" t="b">
        <v>0</v>
      </c>
      <c r="I220" s="0" t="s">
        <v>114</v>
      </c>
      <c r="J220" s="0">
        <v>12</v>
      </c>
      <c r="K220" s="0">
        <v>55</v>
      </c>
      <c r="L220" s="0">
        <v>625</v>
      </c>
      <c r="M220" s="1">
        <f>=HYPERLINK("10.175.1.14\MWEB.12\BT\EntityDetails.10.175.1.14.MWEB.12._APPDYNAMICS.625.xlsx", "&lt;Detail&gt;")</f>
      </c>
      <c r="N220" s="1">
        <f>=HYPERLINK("10.175.1.14\MWEB.12\BT\MetricGraphs.BT.10.175.1.14.MWEB.12.xlsx", "&lt;Metrics&gt;")</f>
      </c>
      <c r="O220" s="1">
        <f>=HYPERLINK("10.175.1.14\MWEB.12\BT\FlameGraph.BT.10.175.1.14.MWEB.12._APPDYNAMICS.625.svg", "&lt;FlGraph&gt;")</f>
      </c>
      <c r="P220" s="1">
        <f>=HYPERLINK("10.175.1.14\MWEB.12\BT\FlameChart.BT.10.175.1.14.MWEB.12._APPDYNAMICS.625.svg", "&lt;FlChart&gt;")</f>
      </c>
      <c r="Q220" s="0" t="s">
        <v>101</v>
      </c>
      <c r="R220" s="0" t="s">
        <v>145</v>
      </c>
      <c r="S220" s="0" t="s">
        <v>195</v>
      </c>
      <c r="T220" s="0" t="s">
        <v>1335</v>
      </c>
    </row>
    <row r="221">
      <c r="A221" s="0" t="s">
        <v>28</v>
      </c>
      <c r="B221" s="0" t="s">
        <v>30</v>
      </c>
      <c r="C221" s="0" t="s">
        <v>194</v>
      </c>
      <c r="D221" s="0" t="s">
        <v>1259</v>
      </c>
      <c r="E221" s="0" t="s">
        <v>1259</v>
      </c>
      <c r="F221" s="0" t="b">
        <v>0</v>
      </c>
      <c r="G221" s="0" t="s">
        <v>976</v>
      </c>
      <c r="H221" s="0" t="b">
        <v>0</v>
      </c>
      <c r="I221" s="0" t="s">
        <v>114</v>
      </c>
      <c r="J221" s="0">
        <v>12</v>
      </c>
      <c r="K221" s="0">
        <v>55</v>
      </c>
      <c r="L221" s="0">
        <v>698</v>
      </c>
      <c r="M221" s="1">
        <f>=HYPERLINK("10.175.1.14\MWEB.12\BT\EntityDetails.10.175.1.14.MWEB.12.FEP通信.698.xlsx", "&lt;Detail&gt;")</f>
      </c>
      <c r="N221" s="1">
        <f>=HYPERLINK("10.175.1.14\MWEB.12\BT\MetricGraphs.BT.10.175.1.14.MWEB.12.xlsx", "&lt;Metrics&gt;")</f>
      </c>
      <c r="O221" s="1">
        <f>=HYPERLINK("10.175.1.14\MWEB.12\BT\FlameGraph.BT.10.175.1.14.MWEB.12.FEP通信.698.svg", "&lt;FlGraph&gt;")</f>
      </c>
      <c r="P221" s="1">
        <f>=HYPERLINK("10.175.1.14\MWEB.12\BT\FlameChart.BT.10.175.1.14.MWEB.12.FEP通信.698.svg", "&lt;FlChart&gt;")</f>
      </c>
      <c r="Q221" s="0" t="s">
        <v>101</v>
      </c>
      <c r="R221" s="0" t="s">
        <v>145</v>
      </c>
      <c r="S221" s="0" t="s">
        <v>195</v>
      </c>
      <c r="T221" s="0" t="s">
        <v>1336</v>
      </c>
    </row>
    <row r="222">
      <c r="A222" s="0" t="s">
        <v>28</v>
      </c>
      <c r="B222" s="0" t="s">
        <v>30</v>
      </c>
      <c r="C222" s="0" t="s">
        <v>196</v>
      </c>
      <c r="D222" s="0" t="s">
        <v>1261</v>
      </c>
      <c r="E222" s="0" t="s">
        <v>1261</v>
      </c>
      <c r="F222" s="0" t="b">
        <v>0</v>
      </c>
      <c r="G222" s="0" t="s">
        <v>976</v>
      </c>
      <c r="H222" s="0" t="b">
        <v>0</v>
      </c>
      <c r="I222" s="0" t="s">
        <v>114</v>
      </c>
      <c r="J222" s="0">
        <v>12</v>
      </c>
      <c r="K222" s="0">
        <v>47</v>
      </c>
      <c r="L222" s="0">
        <v>693</v>
      </c>
      <c r="M222" s="1">
        <f>=HYPERLINK("10.175.1.14\MWEB.12\BT\EntityDetails.10.175.1.14.MWEB.12.-ondelay-Hea.693.xlsx", "&lt;Detail&gt;")</f>
      </c>
      <c r="N222" s="1">
        <f>=HYPERLINK("10.175.1.14\MWEB.12\BT\MetricGraphs.BT.10.175.1.14.MWEB.12.xlsx", "&lt;Metrics&gt;")</f>
      </c>
      <c r="O222" s="1">
        <f>=HYPERLINK("10.175.1.14\MWEB.12\BT\FlameGraph.BT.10.175.1.14.MWEB.12.-ondelay-Hea.693.svg", "&lt;FlGraph&gt;")</f>
      </c>
      <c r="P222" s="1">
        <f>=HYPERLINK("10.175.1.14\MWEB.12\BT\FlameChart.BT.10.175.1.14.MWEB.12.-ondelay-Hea.693.svg", "&lt;FlChart&gt;")</f>
      </c>
      <c r="Q222" s="0" t="s">
        <v>101</v>
      </c>
      <c r="R222" s="0" t="s">
        <v>145</v>
      </c>
      <c r="S222" s="0" t="s">
        <v>197</v>
      </c>
      <c r="T222" s="0" t="s">
        <v>1337</v>
      </c>
    </row>
    <row r="223">
      <c r="A223" s="0" t="s">
        <v>28</v>
      </c>
      <c r="B223" s="0" t="s">
        <v>30</v>
      </c>
      <c r="C223" s="0" t="s">
        <v>196</v>
      </c>
      <c r="D223" s="0" t="s">
        <v>1101</v>
      </c>
      <c r="E223" s="0" t="s">
        <v>1101</v>
      </c>
      <c r="F223" s="0" t="b">
        <v>0</v>
      </c>
      <c r="G223" s="0" t="s">
        <v>976</v>
      </c>
      <c r="H223" s="0" t="b">
        <v>0</v>
      </c>
      <c r="I223" s="0" t="s">
        <v>114</v>
      </c>
      <c r="J223" s="0">
        <v>12</v>
      </c>
      <c r="K223" s="0">
        <v>47</v>
      </c>
      <c r="L223" s="0">
        <v>714</v>
      </c>
      <c r="M223" s="1">
        <f>=HYPERLINK("10.175.1.14\MWEB.12\BT\EntityDetails.10.175.1.14.MWEB.12.-ondelay-odc.714.xlsx", "&lt;Detail&gt;")</f>
      </c>
      <c r="N223" s="1">
        <f>=HYPERLINK("10.175.1.14\MWEB.12\BT\MetricGraphs.BT.10.175.1.14.MWEB.12.xlsx", "&lt;Metrics&gt;")</f>
      </c>
      <c r="O223" s="1">
        <f>=HYPERLINK("10.175.1.14\MWEB.12\BT\FlameGraph.BT.10.175.1.14.MWEB.12.-ondelay-odc.714.svg", "&lt;FlGraph&gt;")</f>
      </c>
      <c r="P223" s="1">
        <f>=HYPERLINK("10.175.1.14\MWEB.12\BT\FlameChart.BT.10.175.1.14.MWEB.12.-ondelay-odc.714.svg", "&lt;FlChart&gt;")</f>
      </c>
      <c r="Q223" s="0" t="s">
        <v>101</v>
      </c>
      <c r="R223" s="0" t="s">
        <v>145</v>
      </c>
      <c r="S223" s="0" t="s">
        <v>197</v>
      </c>
      <c r="T223" s="0" t="s">
        <v>1338</v>
      </c>
    </row>
    <row r="224">
      <c r="A224" s="0" t="s">
        <v>28</v>
      </c>
      <c r="B224" s="0" t="s">
        <v>30</v>
      </c>
      <c r="C224" s="0" t="s">
        <v>196</v>
      </c>
      <c r="D224" s="0" t="s">
        <v>1030</v>
      </c>
      <c r="E224" s="0" t="s">
        <v>1030</v>
      </c>
      <c r="F224" s="0" t="b">
        <v>0</v>
      </c>
      <c r="G224" s="0" t="s">
        <v>1031</v>
      </c>
      <c r="H224" s="0" t="b">
        <v>0</v>
      </c>
      <c r="I224" s="0" t="s">
        <v>114</v>
      </c>
      <c r="J224" s="0">
        <v>12</v>
      </c>
      <c r="K224" s="0">
        <v>47</v>
      </c>
      <c r="L224" s="0">
        <v>619</v>
      </c>
      <c r="M224" s="1">
        <f>=HYPERLINK("10.175.1.14\MWEB.12\BT\EntityDetails.10.175.1.14.MWEB.12._APPDYNAMICS.619.xlsx", "&lt;Detail&gt;")</f>
      </c>
      <c r="N224" s="1">
        <f>=HYPERLINK("10.175.1.14\MWEB.12\BT\MetricGraphs.BT.10.175.1.14.MWEB.12.xlsx", "&lt;Metrics&gt;")</f>
      </c>
      <c r="O224" s="1">
        <f>=HYPERLINK("10.175.1.14\MWEB.12\BT\FlameGraph.BT.10.175.1.14.MWEB.12._APPDYNAMICS.619.svg", "&lt;FlGraph&gt;")</f>
      </c>
      <c r="P224" s="1">
        <f>=HYPERLINK("10.175.1.14\MWEB.12\BT\FlameChart.BT.10.175.1.14.MWEB.12._APPDYNAMICS.619.svg", "&lt;FlChart&gt;")</f>
      </c>
      <c r="Q224" s="0" t="s">
        <v>101</v>
      </c>
      <c r="R224" s="0" t="s">
        <v>145</v>
      </c>
      <c r="S224" s="0" t="s">
        <v>197</v>
      </c>
      <c r="T224" s="0" t="s">
        <v>1339</v>
      </c>
    </row>
  </sheetData>
  <headerFooter/>
  <tableParts>
    <tablePart r:id="rId1"/>
  </tableParts>
</worksheet>
</file>

<file path=xl/worksheets/sheet2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=HYPERLINK("#'10.Business Transactions'!A1", "&lt;Go&gt;")</f>
      </c>
    </row>
  </sheetData>
  <headerFooter/>
  <drawing r:id="rId2"/>
</worksheet>
</file>

<file path=xl/worksheets/sheet28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=HYPERLINK("#'10.Business Transactions'!A1", "&lt;Go&gt;")</f>
      </c>
    </row>
  </sheetData>
  <headerFooter/>
</worksheet>
</file>

<file path=xl/worksheets/sheet29.xml><?xml version="1.0" encoding="utf-8"?>
<worksheet xmlns:r="http://schemas.openxmlformats.org/officeDocument/2006/relationships" xmlns="http://schemas.openxmlformats.org/spreadsheetml/2006/main">
  <dimension ref="A1:P222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5" customWidth="1"/>
    <col min="3" max="3" width="15" customWidth="1"/>
    <col min="4" max="4" width="20" customWidth="1"/>
    <col min="5" max="5" width="1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1340</v>
      </c>
      <c r="B2" s="1">
        <f>=HYPERLINK("#'11.SEPs.Type'!A1", "&lt;Go&gt;")</f>
      </c>
    </row>
    <row r="3">
      <c r="A3" s="0" t="s">
        <v>1341</v>
      </c>
      <c r="B3" s="1">
        <f>=HYPERLINK("#'11.SEPs.Location'!A1",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1342</v>
      </c>
      <c r="E4" s="0" t="s">
        <v>1343</v>
      </c>
      <c r="F4" s="0" t="s">
        <v>906</v>
      </c>
      <c r="G4" s="0" t="s">
        <v>907</v>
      </c>
      <c r="H4" s="0" t="s">
        <v>26</v>
      </c>
      <c r="I4" s="0" t="s">
        <v>150</v>
      </c>
      <c r="J4" s="0" t="s">
        <v>1344</v>
      </c>
      <c r="K4" s="0" t="s">
        <v>140</v>
      </c>
      <c r="L4" s="0" t="s">
        <v>141</v>
      </c>
      <c r="M4" s="0" t="s">
        <v>98</v>
      </c>
      <c r="N4" s="0" t="s">
        <v>144</v>
      </c>
      <c r="O4" s="0" t="s">
        <v>151</v>
      </c>
      <c r="P4" s="0" t="s">
        <v>1345</v>
      </c>
    </row>
    <row r="5">
      <c r="A5" s="0" t="s">
        <v>28</v>
      </c>
      <c r="B5" s="0" t="s">
        <v>30</v>
      </c>
      <c r="C5" s="0" t="s">
        <v>156</v>
      </c>
      <c r="D5" s="0" t="s">
        <v>1269</v>
      </c>
      <c r="E5" s="0" t="s">
        <v>1270</v>
      </c>
      <c r="F5" s="0" t="b">
        <v>0</v>
      </c>
      <c r="G5" s="0" t="s">
        <v>114</v>
      </c>
      <c r="H5" s="0">
        <v>12</v>
      </c>
      <c r="I5" s="0">
        <v>42</v>
      </c>
      <c r="J5" s="0">
        <v>149</v>
      </c>
      <c r="K5" s="1">
        <f>=HYPERLINK("10.175.1.14\MWEB.12\SEP\EntityDetails.10.175.1.14.MWEB.12.-.POST.149.xlsx", "&lt;Detail&gt;")</f>
      </c>
      <c r="L5" s="1">
        <f>=HYPERLINK("10.175.1.14\MWEB.12\SEP\MetricGraphs.SEP.10.175.1.14.MWEB.12.xlsx", "&lt;Metrics&gt;")</f>
      </c>
      <c r="M5" s="0" t="s">
        <v>101</v>
      </c>
      <c r="N5" s="0" t="s">
        <v>145</v>
      </c>
      <c r="O5" s="0" t="s">
        <v>157</v>
      </c>
      <c r="P5" s="0" t="s">
        <v>1346</v>
      </c>
    </row>
    <row r="6">
      <c r="A6" s="0" t="s">
        <v>28</v>
      </c>
      <c r="B6" s="0" t="s">
        <v>30</v>
      </c>
      <c r="C6" s="0" t="s">
        <v>156</v>
      </c>
      <c r="D6" s="0" t="s">
        <v>975</v>
      </c>
      <c r="E6" s="0" t="s">
        <v>976</v>
      </c>
      <c r="F6" s="0" t="b">
        <v>0</v>
      </c>
      <c r="G6" s="0" t="s">
        <v>114</v>
      </c>
      <c r="H6" s="0">
        <v>12</v>
      </c>
      <c r="I6" s="0">
        <v>42</v>
      </c>
      <c r="J6" s="0">
        <v>1176</v>
      </c>
      <c r="K6" s="1">
        <f>=HYPERLINK("10.175.1.14\MWEB.12\SEP\EntityDetails.10.175.1.14.MWEB.12.-admin-login.1176.xlsx", "&lt;Detail&gt;")</f>
      </c>
      <c r="L6" s="1">
        <f>=HYPERLINK("10.175.1.14\MWEB.12\SEP\MetricGraphs.SEP.10.175.1.14.MWEB.12.xlsx", "&lt;Metrics&gt;")</f>
      </c>
      <c r="M6" s="0" t="s">
        <v>101</v>
      </c>
      <c r="N6" s="0" t="s">
        <v>145</v>
      </c>
      <c r="O6" s="0" t="s">
        <v>157</v>
      </c>
      <c r="P6" s="0" t="s">
        <v>1347</v>
      </c>
    </row>
    <row r="7">
      <c r="A7" s="0" t="s">
        <v>28</v>
      </c>
      <c r="B7" s="0" t="s">
        <v>30</v>
      </c>
      <c r="C7" s="0" t="s">
        <v>156</v>
      </c>
      <c r="D7" s="0" t="s">
        <v>978</v>
      </c>
      <c r="E7" s="0" t="s">
        <v>976</v>
      </c>
      <c r="F7" s="0" t="b">
        <v>0</v>
      </c>
      <c r="G7" s="0" t="s">
        <v>114</v>
      </c>
      <c r="H7" s="0">
        <v>12</v>
      </c>
      <c r="I7" s="0">
        <v>42</v>
      </c>
      <c r="J7" s="0">
        <v>200</v>
      </c>
      <c r="K7" s="1">
        <f>=HYPERLINK("10.175.1.14\MWEB.12\SEP\EntityDetails.10.175.1.14.MWEB.12.-api-login.200.xlsx", "&lt;Detail&gt;")</f>
      </c>
      <c r="L7" s="1">
        <f>=HYPERLINK("10.175.1.14\MWEB.12\SEP\MetricGraphs.SEP.10.175.1.14.MWEB.12.xlsx", "&lt;Metrics&gt;")</f>
      </c>
      <c r="M7" s="0" t="s">
        <v>101</v>
      </c>
      <c r="N7" s="0" t="s">
        <v>145</v>
      </c>
      <c r="O7" s="0" t="s">
        <v>157</v>
      </c>
      <c r="P7" s="0" t="s">
        <v>1348</v>
      </c>
    </row>
    <row r="8">
      <c r="A8" s="0" t="s">
        <v>28</v>
      </c>
      <c r="B8" s="0" t="s">
        <v>30</v>
      </c>
      <c r="C8" s="0" t="s">
        <v>156</v>
      </c>
      <c r="D8" s="0" t="s">
        <v>1349</v>
      </c>
      <c r="E8" s="0" t="s">
        <v>976</v>
      </c>
      <c r="F8" s="0" t="b">
        <v>0</v>
      </c>
      <c r="G8" s="0" t="s">
        <v>114</v>
      </c>
      <c r="H8" s="0">
        <v>12</v>
      </c>
      <c r="I8" s="0">
        <v>42</v>
      </c>
      <c r="J8" s="0">
        <v>679</v>
      </c>
      <c r="K8" s="1">
        <f>=HYPERLINK("10.175.1.14\MWEB.12\SEP\EntityDetails.10.175.1.14.MWEB.12.-api-mailadd.679.xlsx", "&lt;Detail&gt;")</f>
      </c>
      <c r="L8" s="1">
        <f>=HYPERLINK("10.175.1.14\MWEB.12\SEP\MetricGraphs.SEP.10.175.1.14.MWEB.12.xlsx", "&lt;Metrics&gt;")</f>
      </c>
      <c r="M8" s="0" t="s">
        <v>101</v>
      </c>
      <c r="N8" s="0" t="s">
        <v>145</v>
      </c>
      <c r="O8" s="0" t="s">
        <v>157</v>
      </c>
      <c r="P8" s="0" t="s">
        <v>1350</v>
      </c>
    </row>
    <row r="9">
      <c r="A9" s="0" t="s">
        <v>28</v>
      </c>
      <c r="B9" s="0" t="s">
        <v>30</v>
      </c>
      <c r="C9" s="0" t="s">
        <v>156</v>
      </c>
      <c r="D9" s="0" t="s">
        <v>1351</v>
      </c>
      <c r="E9" s="0" t="s">
        <v>976</v>
      </c>
      <c r="F9" s="0" t="b">
        <v>0</v>
      </c>
      <c r="G9" s="0" t="s">
        <v>114</v>
      </c>
      <c r="H9" s="0">
        <v>12</v>
      </c>
      <c r="I9" s="0">
        <v>42</v>
      </c>
      <c r="J9" s="0">
        <v>680</v>
      </c>
      <c r="K9" s="1">
        <f>=HYPERLINK("10.175.1.14\MWEB.12\SEP\EntityDetails.10.175.1.14.MWEB.12.-api-mailmag.680.xlsx", "&lt;Detail&gt;")</f>
      </c>
      <c r="L9" s="1">
        <f>=HYPERLINK("10.175.1.14\MWEB.12\SEP\MetricGraphs.SEP.10.175.1.14.MWEB.12.xlsx", "&lt;Metrics&gt;")</f>
      </c>
      <c r="M9" s="0" t="s">
        <v>101</v>
      </c>
      <c r="N9" s="0" t="s">
        <v>145</v>
      </c>
      <c r="O9" s="0" t="s">
        <v>157</v>
      </c>
      <c r="P9" s="0" t="s">
        <v>1352</v>
      </c>
    </row>
    <row r="10">
      <c r="A10" s="0" t="s">
        <v>28</v>
      </c>
      <c r="B10" s="0" t="s">
        <v>30</v>
      </c>
      <c r="C10" s="0" t="s">
        <v>156</v>
      </c>
      <c r="D10" s="0" t="s">
        <v>1353</v>
      </c>
      <c r="E10" s="0" t="s">
        <v>976</v>
      </c>
      <c r="F10" s="0" t="b">
        <v>0</v>
      </c>
      <c r="G10" s="0" t="s">
        <v>114</v>
      </c>
      <c r="H10" s="0">
        <v>12</v>
      </c>
      <c r="I10" s="0">
        <v>42</v>
      </c>
      <c r="J10" s="0">
        <v>902</v>
      </c>
      <c r="K10" s="1">
        <f>=HYPERLINK("10.175.1.14\MWEB.12\SEP\EntityDetails.10.175.1.14.MWEB.12.-api-mbwtmet.902.xlsx", "&lt;Detail&gt;")</f>
      </c>
      <c r="L10" s="1">
        <f>=HYPERLINK("10.175.1.14\MWEB.12\SEP\MetricGraphs.SEP.10.175.1.14.MWEB.12.xlsx", "&lt;Metrics&gt;")</f>
      </c>
      <c r="M10" s="0" t="s">
        <v>101</v>
      </c>
      <c r="N10" s="0" t="s">
        <v>145</v>
      </c>
      <c r="O10" s="0" t="s">
        <v>157</v>
      </c>
      <c r="P10" s="0" t="s">
        <v>1354</v>
      </c>
    </row>
    <row r="11">
      <c r="A11" s="0" t="s">
        <v>28</v>
      </c>
      <c r="B11" s="0" t="s">
        <v>30</v>
      </c>
      <c r="C11" s="0" t="s">
        <v>156</v>
      </c>
      <c r="D11" s="0" t="s">
        <v>1355</v>
      </c>
      <c r="E11" s="0" t="s">
        <v>976</v>
      </c>
      <c r="F11" s="0" t="b">
        <v>0</v>
      </c>
      <c r="G11" s="0" t="s">
        <v>114</v>
      </c>
      <c r="H11" s="0">
        <v>12</v>
      </c>
      <c r="I11" s="0">
        <v>42</v>
      </c>
      <c r="J11" s="0">
        <v>670</v>
      </c>
      <c r="K11" s="1">
        <f>=HYPERLINK("10.175.1.14\MWEB.12\SEP\EntityDetails.10.175.1.14.MWEB.12.-api-onetime.670.xlsx", "&lt;Detail&gt;")</f>
      </c>
      <c r="L11" s="1">
        <f>=HYPERLINK("10.175.1.14\MWEB.12\SEP\MetricGraphs.SEP.10.175.1.14.MWEB.12.xlsx", "&lt;Metrics&gt;")</f>
      </c>
      <c r="M11" s="0" t="s">
        <v>101</v>
      </c>
      <c r="N11" s="0" t="s">
        <v>145</v>
      </c>
      <c r="O11" s="0" t="s">
        <v>157</v>
      </c>
      <c r="P11" s="0" t="s">
        <v>1356</v>
      </c>
    </row>
    <row r="12">
      <c r="A12" s="0" t="s">
        <v>28</v>
      </c>
      <c r="B12" s="0" t="s">
        <v>30</v>
      </c>
      <c r="C12" s="0" t="s">
        <v>156</v>
      </c>
      <c r="D12" s="0" t="s">
        <v>980</v>
      </c>
      <c r="E12" s="0" t="s">
        <v>976</v>
      </c>
      <c r="F12" s="0" t="b">
        <v>0</v>
      </c>
      <c r="G12" s="0" t="s">
        <v>114</v>
      </c>
      <c r="H12" s="0">
        <v>12</v>
      </c>
      <c r="I12" s="0">
        <v>42</v>
      </c>
      <c r="J12" s="0">
        <v>287</v>
      </c>
      <c r="K12" s="1">
        <f>=HYPERLINK("10.175.1.14\MWEB.12\SEP\EntityDetails.10.175.1.14.MWEB.12.-connect-dum.287.xlsx", "&lt;Detail&gt;")</f>
      </c>
      <c r="L12" s="1">
        <f>=HYPERLINK("10.175.1.14\MWEB.12\SEP\MetricGraphs.SEP.10.175.1.14.MWEB.12.xlsx", "&lt;Metrics&gt;")</f>
      </c>
      <c r="M12" s="0" t="s">
        <v>101</v>
      </c>
      <c r="N12" s="0" t="s">
        <v>145</v>
      </c>
      <c r="O12" s="0" t="s">
        <v>157</v>
      </c>
      <c r="P12" s="0" t="s">
        <v>1357</v>
      </c>
    </row>
    <row r="13">
      <c r="A13" s="0" t="s">
        <v>28</v>
      </c>
      <c r="B13" s="0" t="s">
        <v>30</v>
      </c>
      <c r="C13" s="0" t="s">
        <v>156</v>
      </c>
      <c r="D13" s="0" t="s">
        <v>1358</v>
      </c>
      <c r="E13" s="0" t="s">
        <v>976</v>
      </c>
      <c r="F13" s="0" t="b">
        <v>0</v>
      </c>
      <c r="G13" s="0" t="s">
        <v>114</v>
      </c>
      <c r="H13" s="0">
        <v>12</v>
      </c>
      <c r="I13" s="0">
        <v>42</v>
      </c>
      <c r="J13" s="0">
        <v>222</v>
      </c>
      <c r="K13" s="1">
        <f>=HYPERLINK("10.175.1.14\MWEB.12\SEP\EntityDetails.10.175.1.14.MWEB.12.-console-log.222.xlsx", "&lt;Detail&gt;")</f>
      </c>
      <c r="L13" s="1">
        <f>=HYPERLINK("10.175.1.14\MWEB.12\SEP\MetricGraphs.SEP.10.175.1.14.MWEB.12.xlsx", "&lt;Metrics&gt;")</f>
      </c>
      <c r="M13" s="0" t="s">
        <v>101</v>
      </c>
      <c r="N13" s="0" t="s">
        <v>145</v>
      </c>
      <c r="O13" s="0" t="s">
        <v>157</v>
      </c>
      <c r="P13" s="0" t="s">
        <v>1359</v>
      </c>
    </row>
    <row r="14">
      <c r="A14" s="0" t="s">
        <v>28</v>
      </c>
      <c r="B14" s="0" t="s">
        <v>30</v>
      </c>
      <c r="C14" s="0" t="s">
        <v>156</v>
      </c>
      <c r="D14" s="0" t="s">
        <v>1360</v>
      </c>
      <c r="E14" s="0" t="s">
        <v>976</v>
      </c>
      <c r="F14" s="0" t="b">
        <v>0</v>
      </c>
      <c r="G14" s="0" t="s">
        <v>114</v>
      </c>
      <c r="H14" s="0">
        <v>12</v>
      </c>
      <c r="I14" s="0">
        <v>42</v>
      </c>
      <c r="J14" s="0">
        <v>1192</v>
      </c>
      <c r="K14" s="1">
        <f>=HYPERLINK("10.175.1.14\MWEB.12\SEP\EntityDetails.10.175.1.14.MWEB.12.-CSCOnm-serv.1192.xlsx", "&lt;Detail&gt;")</f>
      </c>
      <c r="L14" s="1">
        <f>=HYPERLINK("10.175.1.14\MWEB.12\SEP\MetricGraphs.SEP.10.175.1.14.MWEB.12.xlsx", "&lt;Metrics&gt;")</f>
      </c>
      <c r="M14" s="0" t="s">
        <v>101</v>
      </c>
      <c r="N14" s="0" t="s">
        <v>145</v>
      </c>
      <c r="O14" s="0" t="s">
        <v>157</v>
      </c>
      <c r="P14" s="0" t="s">
        <v>1361</v>
      </c>
    </row>
    <row r="15">
      <c r="A15" s="0" t="s">
        <v>28</v>
      </c>
      <c r="B15" s="0" t="s">
        <v>30</v>
      </c>
      <c r="C15" s="0" t="s">
        <v>156</v>
      </c>
      <c r="D15" s="0" t="s">
        <v>1362</v>
      </c>
      <c r="E15" s="0" t="s">
        <v>976</v>
      </c>
      <c r="F15" s="0" t="b">
        <v>0</v>
      </c>
      <c r="G15" s="0" t="s">
        <v>114</v>
      </c>
      <c r="H15" s="0">
        <v>12</v>
      </c>
      <c r="I15" s="0">
        <v>42</v>
      </c>
      <c r="J15" s="0">
        <v>1191</v>
      </c>
      <c r="K15" s="1">
        <f>=HYPERLINK("10.175.1.14\MWEB.12\SEP\EntityDetails.10.175.1.14.MWEB.12.-cwhp-CSMSDe.1191.xlsx", "&lt;Detail&gt;")</f>
      </c>
      <c r="L15" s="1">
        <f>=HYPERLINK("10.175.1.14\MWEB.12\SEP\MetricGraphs.SEP.10.175.1.14.MWEB.12.xlsx", "&lt;Metrics&gt;")</f>
      </c>
      <c r="M15" s="0" t="s">
        <v>101</v>
      </c>
      <c r="N15" s="0" t="s">
        <v>145</v>
      </c>
      <c r="O15" s="0" t="s">
        <v>157</v>
      </c>
      <c r="P15" s="0" t="s">
        <v>1363</v>
      </c>
    </row>
    <row r="16">
      <c r="A16" s="0" t="s">
        <v>28</v>
      </c>
      <c r="B16" s="0" t="s">
        <v>30</v>
      </c>
      <c r="C16" s="0" t="s">
        <v>156</v>
      </c>
      <c r="D16" s="0" t="s">
        <v>982</v>
      </c>
      <c r="E16" s="0" t="s">
        <v>976</v>
      </c>
      <c r="F16" s="0" t="b">
        <v>0</v>
      </c>
      <c r="G16" s="0" t="s">
        <v>114</v>
      </c>
      <c r="H16" s="0">
        <v>12</v>
      </c>
      <c r="I16" s="0">
        <v>42</v>
      </c>
      <c r="J16" s="0">
        <v>1175</v>
      </c>
      <c r="K16" s="1">
        <f>=HYPERLINK("10.175.1.14\MWEB.12\SEP\EntityDetails.10.175.1.14.MWEB.12.-dms2-Login..1175.xlsx", "&lt;Detail&gt;")</f>
      </c>
      <c r="L16" s="1">
        <f>=HYPERLINK("10.175.1.14\MWEB.12\SEP\MetricGraphs.SEP.10.175.1.14.MWEB.12.xlsx", "&lt;Metrics&gt;")</f>
      </c>
      <c r="M16" s="0" t="s">
        <v>101</v>
      </c>
      <c r="N16" s="0" t="s">
        <v>145</v>
      </c>
      <c r="O16" s="0" t="s">
        <v>157</v>
      </c>
      <c r="P16" s="0" t="s">
        <v>1364</v>
      </c>
    </row>
    <row r="17">
      <c r="A17" s="0" t="s">
        <v>28</v>
      </c>
      <c r="B17" s="0" t="s">
        <v>30</v>
      </c>
      <c r="C17" s="0" t="s">
        <v>156</v>
      </c>
      <c r="D17" s="0" t="s">
        <v>984</v>
      </c>
      <c r="E17" s="0" t="s">
        <v>976</v>
      </c>
      <c r="F17" s="0" t="b">
        <v>0</v>
      </c>
      <c r="G17" s="0" t="s">
        <v>114</v>
      </c>
      <c r="H17" s="0">
        <v>12</v>
      </c>
      <c r="I17" s="0">
        <v>42</v>
      </c>
      <c r="J17" s="0">
        <v>173</v>
      </c>
      <c r="K17" s="1">
        <f>=HYPERLINK("10.175.1.14\MWEB.12\SEP\EntityDetails.10.175.1.14.MWEB.12.-HealthMonit.173.xlsx", "&lt;Detail&gt;")</f>
      </c>
      <c r="L17" s="1">
        <f>=HYPERLINK("10.175.1.14\MWEB.12\SEP\MetricGraphs.SEP.10.175.1.14.MWEB.12.xlsx", "&lt;Metrics&gt;")</f>
      </c>
      <c r="M17" s="0" t="s">
        <v>101</v>
      </c>
      <c r="N17" s="0" t="s">
        <v>145</v>
      </c>
      <c r="O17" s="0" t="s">
        <v>157</v>
      </c>
      <c r="P17" s="0" t="s">
        <v>1365</v>
      </c>
    </row>
    <row r="18">
      <c r="A18" s="0" t="s">
        <v>28</v>
      </c>
      <c r="B18" s="0" t="s">
        <v>30</v>
      </c>
      <c r="C18" s="0" t="s">
        <v>156</v>
      </c>
      <c r="D18" s="0" t="s">
        <v>1366</v>
      </c>
      <c r="E18" s="0" t="s">
        <v>976</v>
      </c>
      <c r="F18" s="0" t="b">
        <v>0</v>
      </c>
      <c r="G18" s="0" t="s">
        <v>114</v>
      </c>
      <c r="H18" s="0">
        <v>12</v>
      </c>
      <c r="I18" s="0">
        <v>42</v>
      </c>
      <c r="J18" s="0">
        <v>334</v>
      </c>
      <c r="K18" s="1">
        <f>=HYPERLINK("10.175.1.14\MWEB.12\SEP\EntityDetails.10.175.1.14.MWEB.12.-if-CGI_get_.334.xlsx", "&lt;Detail&gt;")</f>
      </c>
      <c r="L18" s="1">
        <f>=HYPERLINK("10.175.1.14\MWEB.12\SEP\MetricGraphs.SEP.10.175.1.14.MWEB.12.xlsx", "&lt;Metrics&gt;")</f>
      </c>
      <c r="M18" s="0" t="s">
        <v>101</v>
      </c>
      <c r="N18" s="0" t="s">
        <v>145</v>
      </c>
      <c r="O18" s="0" t="s">
        <v>157</v>
      </c>
      <c r="P18" s="0" t="s">
        <v>1367</v>
      </c>
    </row>
    <row r="19">
      <c r="A19" s="0" t="s">
        <v>28</v>
      </c>
      <c r="B19" s="0" t="s">
        <v>30</v>
      </c>
      <c r="C19" s="0" t="s">
        <v>156</v>
      </c>
      <c r="D19" s="0" t="s">
        <v>1368</v>
      </c>
      <c r="E19" s="0" t="s">
        <v>976</v>
      </c>
      <c r="F19" s="0" t="b">
        <v>0</v>
      </c>
      <c r="G19" s="0" t="s">
        <v>114</v>
      </c>
      <c r="H19" s="0">
        <v>12</v>
      </c>
      <c r="I19" s="0">
        <v>42</v>
      </c>
      <c r="J19" s="0">
        <v>1187</v>
      </c>
      <c r="K19" s="1">
        <f>=HYPERLINK("10.175.1.14\MWEB.12\SEP\EntityDetails.10.175.1.14.MWEB.12.-index.jsp.1187.xlsx", "&lt;Detail&gt;")</f>
      </c>
      <c r="L19" s="1">
        <f>=HYPERLINK("10.175.1.14\MWEB.12\SEP\MetricGraphs.SEP.10.175.1.14.MWEB.12.xlsx", "&lt;Metrics&gt;")</f>
      </c>
      <c r="M19" s="0" t="s">
        <v>101</v>
      </c>
      <c r="N19" s="0" t="s">
        <v>145</v>
      </c>
      <c r="O19" s="0" t="s">
        <v>157</v>
      </c>
      <c r="P19" s="0" t="s">
        <v>1369</v>
      </c>
    </row>
    <row r="20">
      <c r="A20" s="0" t="s">
        <v>28</v>
      </c>
      <c r="B20" s="0" t="s">
        <v>30</v>
      </c>
      <c r="C20" s="0" t="s">
        <v>156</v>
      </c>
      <c r="D20" s="0" t="s">
        <v>986</v>
      </c>
      <c r="E20" s="0" t="s">
        <v>976</v>
      </c>
      <c r="F20" s="0" t="b">
        <v>0</v>
      </c>
      <c r="G20" s="0" t="s">
        <v>114</v>
      </c>
      <c r="H20" s="0">
        <v>12</v>
      </c>
      <c r="I20" s="0">
        <v>42</v>
      </c>
      <c r="J20" s="0">
        <v>195</v>
      </c>
      <c r="K20" s="1">
        <f>=HYPERLINK("10.175.1.14\MWEB.12\SEP\EntityDetails.10.175.1.14.MWEB.12.-inet-affili.195.xlsx", "&lt;Detail&gt;")</f>
      </c>
      <c r="L20" s="1">
        <f>=HYPERLINK("10.175.1.14\MWEB.12\SEP\MetricGraphs.SEP.10.175.1.14.MWEB.12.xlsx", "&lt;Metrics&gt;")</f>
      </c>
      <c r="M20" s="0" t="s">
        <v>101</v>
      </c>
      <c r="N20" s="0" t="s">
        <v>145</v>
      </c>
      <c r="O20" s="0" t="s">
        <v>157</v>
      </c>
      <c r="P20" s="0" t="s">
        <v>1370</v>
      </c>
    </row>
    <row r="21">
      <c r="A21" s="0" t="s">
        <v>28</v>
      </c>
      <c r="B21" s="0" t="s">
        <v>30</v>
      </c>
      <c r="C21" s="0" t="s">
        <v>156</v>
      </c>
      <c r="D21" s="0" t="s">
        <v>988</v>
      </c>
      <c r="E21" s="0" t="s">
        <v>976</v>
      </c>
      <c r="F21" s="0" t="b">
        <v>0</v>
      </c>
      <c r="G21" s="0" t="s">
        <v>114</v>
      </c>
      <c r="H21" s="0">
        <v>12</v>
      </c>
      <c r="I21" s="0">
        <v>42</v>
      </c>
      <c r="J21" s="0">
        <v>224</v>
      </c>
      <c r="K21" s="1">
        <f>=HYPERLINK("10.175.1.14\MWEB.12\SEP\EntityDetails.10.175.1.14.MWEB.12.-inet-announ.224.xlsx", "&lt;Detail&gt;")</f>
      </c>
      <c r="L21" s="1">
        <f>=HYPERLINK("10.175.1.14\MWEB.12\SEP\MetricGraphs.SEP.10.175.1.14.MWEB.12.xlsx", "&lt;Metrics&gt;")</f>
      </c>
      <c r="M21" s="0" t="s">
        <v>101</v>
      </c>
      <c r="N21" s="0" t="s">
        <v>145</v>
      </c>
      <c r="O21" s="0" t="s">
        <v>157</v>
      </c>
      <c r="P21" s="0" t="s">
        <v>1371</v>
      </c>
    </row>
    <row r="22">
      <c r="A22" s="0" t="s">
        <v>28</v>
      </c>
      <c r="B22" s="0" t="s">
        <v>30</v>
      </c>
      <c r="C22" s="0" t="s">
        <v>156</v>
      </c>
      <c r="D22" s="0" t="s">
        <v>990</v>
      </c>
      <c r="E22" s="0" t="s">
        <v>976</v>
      </c>
      <c r="F22" s="0" t="b">
        <v>0</v>
      </c>
      <c r="G22" s="0" t="s">
        <v>114</v>
      </c>
      <c r="H22" s="0">
        <v>12</v>
      </c>
      <c r="I22" s="0">
        <v>42</v>
      </c>
      <c r="J22" s="0">
        <v>305</v>
      </c>
      <c r="K22" s="1">
        <f>=HYPERLINK("10.175.1.14\MWEB.12\SEP\EntityDetails.10.175.1.14.MWEB.12.-inet-clerk.305.xlsx", "&lt;Detail&gt;")</f>
      </c>
      <c r="L22" s="1">
        <f>=HYPERLINK("10.175.1.14\MWEB.12\SEP\MetricGraphs.SEP.10.175.1.14.MWEB.12.xlsx", "&lt;Metrics&gt;")</f>
      </c>
      <c r="M22" s="0" t="s">
        <v>101</v>
      </c>
      <c r="N22" s="0" t="s">
        <v>145</v>
      </c>
      <c r="O22" s="0" t="s">
        <v>157</v>
      </c>
      <c r="P22" s="0" t="s">
        <v>1372</v>
      </c>
    </row>
    <row r="23">
      <c r="A23" s="0" t="s">
        <v>28</v>
      </c>
      <c r="B23" s="0" t="s">
        <v>30</v>
      </c>
      <c r="C23" s="0" t="s">
        <v>156</v>
      </c>
      <c r="D23" s="0" t="s">
        <v>992</v>
      </c>
      <c r="E23" s="0" t="s">
        <v>976</v>
      </c>
      <c r="F23" s="0" t="b">
        <v>0</v>
      </c>
      <c r="G23" s="0" t="s">
        <v>114</v>
      </c>
      <c r="H23" s="0">
        <v>12</v>
      </c>
      <c r="I23" s="0">
        <v>42</v>
      </c>
      <c r="J23" s="0">
        <v>302</v>
      </c>
      <c r="K23" s="1">
        <f>=HYPERLINK("10.175.1.14\MWEB.12\SEP\EntityDetails.10.175.1.14.MWEB.12.-inet-corpor.302.xlsx", "&lt;Detail&gt;")</f>
      </c>
      <c r="L23" s="1">
        <f>=HYPERLINK("10.175.1.14\MWEB.12\SEP\MetricGraphs.SEP.10.175.1.14.MWEB.12.xlsx", "&lt;Metrics&gt;")</f>
      </c>
      <c r="M23" s="0" t="s">
        <v>101</v>
      </c>
      <c r="N23" s="0" t="s">
        <v>145</v>
      </c>
      <c r="O23" s="0" t="s">
        <v>157</v>
      </c>
      <c r="P23" s="0" t="s">
        <v>1373</v>
      </c>
    </row>
    <row r="24">
      <c r="A24" s="0" t="s">
        <v>28</v>
      </c>
      <c r="B24" s="0" t="s">
        <v>30</v>
      </c>
      <c r="C24" s="0" t="s">
        <v>156</v>
      </c>
      <c r="D24" s="0" t="s">
        <v>994</v>
      </c>
      <c r="E24" s="0" t="s">
        <v>976</v>
      </c>
      <c r="F24" s="0" t="b">
        <v>0</v>
      </c>
      <c r="G24" s="0" t="s">
        <v>114</v>
      </c>
      <c r="H24" s="0">
        <v>12</v>
      </c>
      <c r="I24" s="0">
        <v>42</v>
      </c>
      <c r="J24" s="0">
        <v>172</v>
      </c>
      <c r="K24" s="1">
        <f>=HYPERLINK("10.175.1.14\MWEB.12\SEP\EntityDetails.10.175.1.14.MWEB.12.-inet-dy.172.xlsx", "&lt;Detail&gt;")</f>
      </c>
      <c r="L24" s="1">
        <f>=HYPERLINK("10.175.1.14\MWEB.12\SEP\MetricGraphs.SEP.10.175.1.14.MWEB.12.xlsx", "&lt;Metrics&gt;")</f>
      </c>
      <c r="M24" s="0" t="s">
        <v>101</v>
      </c>
      <c r="N24" s="0" t="s">
        <v>145</v>
      </c>
      <c r="O24" s="0" t="s">
        <v>157</v>
      </c>
      <c r="P24" s="0" t="s">
        <v>1374</v>
      </c>
    </row>
    <row r="25">
      <c r="A25" s="0" t="s">
        <v>28</v>
      </c>
      <c r="B25" s="0" t="s">
        <v>30</v>
      </c>
      <c r="C25" s="0" t="s">
        <v>156</v>
      </c>
      <c r="D25" s="0" t="s">
        <v>996</v>
      </c>
      <c r="E25" s="0" t="s">
        <v>976</v>
      </c>
      <c r="F25" s="0" t="b">
        <v>0</v>
      </c>
      <c r="G25" s="0" t="s">
        <v>114</v>
      </c>
      <c r="H25" s="0">
        <v>12</v>
      </c>
      <c r="I25" s="0">
        <v>42</v>
      </c>
      <c r="J25" s="0">
        <v>333</v>
      </c>
      <c r="K25" s="1">
        <f>=HYPERLINK("10.175.1.14\MWEB.12\SEP\EntityDetails.10.175.1.14.MWEB.12.-inet-EshopS.333.xlsx", "&lt;Detail&gt;")</f>
      </c>
      <c r="L25" s="1">
        <f>=HYPERLINK("10.175.1.14\MWEB.12\SEP\MetricGraphs.SEP.10.175.1.14.MWEB.12.xlsx", "&lt;Metrics&gt;")</f>
      </c>
      <c r="M25" s="0" t="s">
        <v>101</v>
      </c>
      <c r="N25" s="0" t="s">
        <v>145</v>
      </c>
      <c r="O25" s="0" t="s">
        <v>157</v>
      </c>
      <c r="P25" s="0" t="s">
        <v>1375</v>
      </c>
    </row>
    <row r="26">
      <c r="A26" s="0" t="s">
        <v>28</v>
      </c>
      <c r="B26" s="0" t="s">
        <v>30</v>
      </c>
      <c r="C26" s="0" t="s">
        <v>156</v>
      </c>
      <c r="D26" s="0" t="s">
        <v>998</v>
      </c>
      <c r="E26" s="0" t="s">
        <v>976</v>
      </c>
      <c r="F26" s="0" t="b">
        <v>0</v>
      </c>
      <c r="G26" s="0" t="s">
        <v>114</v>
      </c>
      <c r="H26" s="0">
        <v>12</v>
      </c>
      <c r="I26" s="0">
        <v>42</v>
      </c>
      <c r="J26" s="0">
        <v>161</v>
      </c>
      <c r="K26" s="1">
        <f>=HYPERLINK("10.175.1.14\MWEB.12\SEP\EntityDetails.10.175.1.14.MWEB.12.-inet-idpw.161.xlsx", "&lt;Detail&gt;")</f>
      </c>
      <c r="L26" s="1">
        <f>=HYPERLINK("10.175.1.14\MWEB.12\SEP\MetricGraphs.SEP.10.175.1.14.MWEB.12.xlsx", "&lt;Metrics&gt;")</f>
      </c>
      <c r="M26" s="0" t="s">
        <v>101</v>
      </c>
      <c r="N26" s="0" t="s">
        <v>145</v>
      </c>
      <c r="O26" s="0" t="s">
        <v>157</v>
      </c>
      <c r="P26" s="0" t="s">
        <v>1376</v>
      </c>
    </row>
    <row r="27">
      <c r="A27" s="0" t="s">
        <v>28</v>
      </c>
      <c r="B27" s="0" t="s">
        <v>30</v>
      </c>
      <c r="C27" s="0" t="s">
        <v>156</v>
      </c>
      <c r="D27" s="0" t="s">
        <v>1377</v>
      </c>
      <c r="E27" s="0" t="s">
        <v>976</v>
      </c>
      <c r="F27" s="0" t="b">
        <v>0</v>
      </c>
      <c r="G27" s="0" t="s">
        <v>114</v>
      </c>
      <c r="H27" s="0">
        <v>12</v>
      </c>
      <c r="I27" s="0">
        <v>42</v>
      </c>
      <c r="J27" s="0">
        <v>478</v>
      </c>
      <c r="K27" s="1">
        <f>=HYPERLINK("10.175.1.14\MWEB.12\SEP\EntityDetails.10.175.1.14.MWEB.12.-inet-ITYZKE.478.xlsx", "&lt;Detail&gt;")</f>
      </c>
      <c r="L27" s="1">
        <f>=HYPERLINK("10.175.1.14\MWEB.12\SEP\MetricGraphs.SEP.10.175.1.14.MWEB.12.xlsx", "&lt;Metrics&gt;")</f>
      </c>
      <c r="M27" s="0" t="s">
        <v>101</v>
      </c>
      <c r="N27" s="0" t="s">
        <v>145</v>
      </c>
      <c r="O27" s="0" t="s">
        <v>157</v>
      </c>
      <c r="P27" s="0" t="s">
        <v>1378</v>
      </c>
    </row>
    <row r="28">
      <c r="A28" s="0" t="s">
        <v>28</v>
      </c>
      <c r="B28" s="0" t="s">
        <v>30</v>
      </c>
      <c r="C28" s="0" t="s">
        <v>156</v>
      </c>
      <c r="D28" s="0" t="s">
        <v>1000</v>
      </c>
      <c r="E28" s="0" t="s">
        <v>976</v>
      </c>
      <c r="F28" s="0" t="b">
        <v>0</v>
      </c>
      <c r="G28" s="0" t="s">
        <v>114</v>
      </c>
      <c r="H28" s="0">
        <v>12</v>
      </c>
      <c r="I28" s="0">
        <v>42</v>
      </c>
      <c r="J28" s="0">
        <v>101</v>
      </c>
      <c r="K28" s="1">
        <f>=HYPERLINK("10.175.1.14\MWEB.12\SEP\EntityDetails.10.175.1.14.MWEB.12.-inet-life.101.xlsx", "&lt;Detail&gt;")</f>
      </c>
      <c r="L28" s="1">
        <f>=HYPERLINK("10.175.1.14\MWEB.12\SEP\MetricGraphs.SEP.10.175.1.14.MWEB.12.xlsx", "&lt;Metrics&gt;")</f>
      </c>
      <c r="M28" s="0" t="s">
        <v>101</v>
      </c>
      <c r="N28" s="0" t="s">
        <v>145</v>
      </c>
      <c r="O28" s="0" t="s">
        <v>157</v>
      </c>
      <c r="P28" s="0" t="s">
        <v>1379</v>
      </c>
    </row>
    <row r="29">
      <c r="A29" s="0" t="s">
        <v>28</v>
      </c>
      <c r="B29" s="0" t="s">
        <v>30</v>
      </c>
      <c r="C29" s="0" t="s">
        <v>156</v>
      </c>
      <c r="D29" s="0" t="s">
        <v>1002</v>
      </c>
      <c r="E29" s="0" t="s">
        <v>976</v>
      </c>
      <c r="F29" s="0" t="b">
        <v>0</v>
      </c>
      <c r="G29" s="0" t="s">
        <v>114</v>
      </c>
      <c r="H29" s="0">
        <v>12</v>
      </c>
      <c r="I29" s="0">
        <v>42</v>
      </c>
      <c r="J29" s="0">
        <v>178</v>
      </c>
      <c r="K29" s="1">
        <f>=HYPERLINK("10.175.1.14\MWEB.12\SEP\EntityDetails.10.175.1.14.MWEB.12.-inet-ni.178.xlsx", "&lt;Detail&gt;")</f>
      </c>
      <c r="L29" s="1">
        <f>=HYPERLINK("10.175.1.14\MWEB.12\SEP\MetricGraphs.SEP.10.175.1.14.MWEB.12.xlsx", "&lt;Metrics&gt;")</f>
      </c>
      <c r="M29" s="0" t="s">
        <v>101</v>
      </c>
      <c r="N29" s="0" t="s">
        <v>145</v>
      </c>
      <c r="O29" s="0" t="s">
        <v>157</v>
      </c>
      <c r="P29" s="0" t="s">
        <v>1380</v>
      </c>
    </row>
    <row r="30">
      <c r="A30" s="0" t="s">
        <v>28</v>
      </c>
      <c r="B30" s="0" t="s">
        <v>30</v>
      </c>
      <c r="C30" s="0" t="s">
        <v>156</v>
      </c>
      <c r="D30" s="0" t="s">
        <v>1004</v>
      </c>
      <c r="E30" s="0" t="s">
        <v>976</v>
      </c>
      <c r="F30" s="0" t="b">
        <v>0</v>
      </c>
      <c r="G30" s="0" t="s">
        <v>114</v>
      </c>
      <c r="H30" s="0">
        <v>12</v>
      </c>
      <c r="I30" s="0">
        <v>42</v>
      </c>
      <c r="J30" s="0">
        <v>177</v>
      </c>
      <c r="K30" s="1">
        <f>=HYPERLINK("10.175.1.14\MWEB.12\SEP\EntityDetails.10.175.1.14.MWEB.12.-inet-online.177.xlsx", "&lt;Detail&gt;")</f>
      </c>
      <c r="L30" s="1">
        <f>=HYPERLINK("10.175.1.14\MWEB.12\SEP\MetricGraphs.SEP.10.175.1.14.MWEB.12.xlsx", "&lt;Metrics&gt;")</f>
      </c>
      <c r="M30" s="0" t="s">
        <v>101</v>
      </c>
      <c r="N30" s="0" t="s">
        <v>145</v>
      </c>
      <c r="O30" s="0" t="s">
        <v>157</v>
      </c>
      <c r="P30" s="0" t="s">
        <v>1381</v>
      </c>
    </row>
    <row r="31">
      <c r="A31" s="0" t="s">
        <v>28</v>
      </c>
      <c r="B31" s="0" t="s">
        <v>30</v>
      </c>
      <c r="C31" s="0" t="s">
        <v>156</v>
      </c>
      <c r="D31" s="0" t="s">
        <v>1006</v>
      </c>
      <c r="E31" s="0" t="s">
        <v>976</v>
      </c>
      <c r="F31" s="0" t="b">
        <v>0</v>
      </c>
      <c r="G31" s="0" t="s">
        <v>114</v>
      </c>
      <c r="H31" s="0">
        <v>12</v>
      </c>
      <c r="I31" s="0">
        <v>42</v>
      </c>
      <c r="J31" s="0">
        <v>192</v>
      </c>
      <c r="K31" s="1">
        <f>=HYPERLINK("10.175.1.14\MWEB.12\SEP\EntityDetails.10.175.1.14.MWEB.12.-inet-postac.192.xlsx", "&lt;Detail&gt;")</f>
      </c>
      <c r="L31" s="1">
        <f>=HYPERLINK("10.175.1.14\MWEB.12\SEP\MetricGraphs.SEP.10.175.1.14.MWEB.12.xlsx", "&lt;Metrics&gt;")</f>
      </c>
      <c r="M31" s="0" t="s">
        <v>101</v>
      </c>
      <c r="N31" s="0" t="s">
        <v>145</v>
      </c>
      <c r="O31" s="0" t="s">
        <v>157</v>
      </c>
      <c r="P31" s="0" t="s">
        <v>1382</v>
      </c>
    </row>
    <row r="32">
      <c r="A32" s="0" t="s">
        <v>28</v>
      </c>
      <c r="B32" s="0" t="s">
        <v>30</v>
      </c>
      <c r="C32" s="0" t="s">
        <v>156</v>
      </c>
      <c r="D32" s="0" t="s">
        <v>1008</v>
      </c>
      <c r="E32" s="0" t="s">
        <v>976</v>
      </c>
      <c r="F32" s="0" t="b">
        <v>0</v>
      </c>
      <c r="G32" s="0" t="s">
        <v>114</v>
      </c>
      <c r="H32" s="0">
        <v>12</v>
      </c>
      <c r="I32" s="0">
        <v>42</v>
      </c>
      <c r="J32" s="0">
        <v>306</v>
      </c>
      <c r="K32" s="1">
        <f>=HYPERLINK("10.175.1.14\MWEB.12\SEP\EntityDetails.10.175.1.14.MWEB.12.-inet-rwd.306.xlsx", "&lt;Detail&gt;")</f>
      </c>
      <c r="L32" s="1">
        <f>=HYPERLINK("10.175.1.14\MWEB.12\SEP\MetricGraphs.SEP.10.175.1.14.MWEB.12.xlsx", "&lt;Metrics&gt;")</f>
      </c>
      <c r="M32" s="0" t="s">
        <v>101</v>
      </c>
      <c r="N32" s="0" t="s">
        <v>145</v>
      </c>
      <c r="O32" s="0" t="s">
        <v>157</v>
      </c>
      <c r="P32" s="0" t="s">
        <v>1383</v>
      </c>
    </row>
    <row r="33">
      <c r="A33" s="0" t="s">
        <v>28</v>
      </c>
      <c r="B33" s="0" t="s">
        <v>30</v>
      </c>
      <c r="C33" s="0" t="s">
        <v>156</v>
      </c>
      <c r="D33" s="0" t="s">
        <v>1010</v>
      </c>
      <c r="E33" s="0" t="s">
        <v>976</v>
      </c>
      <c r="F33" s="0" t="b">
        <v>0</v>
      </c>
      <c r="G33" s="0" t="s">
        <v>114</v>
      </c>
      <c r="H33" s="0">
        <v>12</v>
      </c>
      <c r="I33" s="0">
        <v>42</v>
      </c>
      <c r="J33" s="0">
        <v>317</v>
      </c>
      <c r="K33" s="1">
        <f>=HYPERLINK("10.175.1.14\MWEB.12\SEP\EntityDetails.10.175.1.14.MWEB.12.-inet-seamle.317.xlsx", "&lt;Detail&gt;")</f>
      </c>
      <c r="L33" s="1">
        <f>=HYPERLINK("10.175.1.14\MWEB.12\SEP\MetricGraphs.SEP.10.175.1.14.MWEB.12.xlsx", "&lt;Metrics&gt;")</f>
      </c>
      <c r="M33" s="0" t="s">
        <v>101</v>
      </c>
      <c r="N33" s="0" t="s">
        <v>145</v>
      </c>
      <c r="O33" s="0" t="s">
        <v>157</v>
      </c>
      <c r="P33" s="0" t="s">
        <v>1384</v>
      </c>
    </row>
    <row r="34">
      <c r="A34" s="0" t="s">
        <v>28</v>
      </c>
      <c r="B34" s="0" t="s">
        <v>30</v>
      </c>
      <c r="C34" s="0" t="s">
        <v>156</v>
      </c>
      <c r="D34" s="0" t="s">
        <v>1012</v>
      </c>
      <c r="E34" s="0" t="s">
        <v>976</v>
      </c>
      <c r="F34" s="0" t="b">
        <v>0</v>
      </c>
      <c r="G34" s="0" t="s">
        <v>114</v>
      </c>
      <c r="H34" s="0">
        <v>12</v>
      </c>
      <c r="I34" s="0">
        <v>42</v>
      </c>
      <c r="J34" s="0">
        <v>194</v>
      </c>
      <c r="K34" s="1">
        <f>=HYPERLINK("10.175.1.14\MWEB.12\SEP\EntityDetails.10.175.1.14.MWEB.12.-inet-shiryo.194.xlsx", "&lt;Detail&gt;")</f>
      </c>
      <c r="L34" s="1">
        <f>=HYPERLINK("10.175.1.14\MWEB.12\SEP\MetricGraphs.SEP.10.175.1.14.MWEB.12.xlsx", "&lt;Metrics&gt;")</f>
      </c>
      <c r="M34" s="0" t="s">
        <v>101</v>
      </c>
      <c r="N34" s="0" t="s">
        <v>145</v>
      </c>
      <c r="O34" s="0" t="s">
        <v>157</v>
      </c>
      <c r="P34" s="0" t="s">
        <v>1385</v>
      </c>
    </row>
    <row r="35">
      <c r="A35" s="0" t="s">
        <v>28</v>
      </c>
      <c r="B35" s="0" t="s">
        <v>30</v>
      </c>
      <c r="C35" s="0" t="s">
        <v>156</v>
      </c>
      <c r="D35" s="0" t="s">
        <v>1014</v>
      </c>
      <c r="E35" s="0" t="s">
        <v>976</v>
      </c>
      <c r="F35" s="0" t="b">
        <v>0</v>
      </c>
      <c r="G35" s="0" t="s">
        <v>114</v>
      </c>
      <c r="H35" s="0">
        <v>12</v>
      </c>
      <c r="I35" s="0">
        <v>42</v>
      </c>
      <c r="J35" s="0">
        <v>191</v>
      </c>
      <c r="K35" s="1">
        <f>=HYPERLINK("10.175.1.14\MWEB.12\SEP\EntityDetails.10.175.1.14.MWEB.12.-inet-siryo.191.xlsx", "&lt;Detail&gt;")</f>
      </c>
      <c r="L35" s="1">
        <f>=HYPERLINK("10.175.1.14\MWEB.12\SEP\MetricGraphs.SEP.10.175.1.14.MWEB.12.xlsx", "&lt;Metrics&gt;")</f>
      </c>
      <c r="M35" s="0" t="s">
        <v>101</v>
      </c>
      <c r="N35" s="0" t="s">
        <v>145</v>
      </c>
      <c r="O35" s="0" t="s">
        <v>157</v>
      </c>
      <c r="P35" s="0" t="s">
        <v>1386</v>
      </c>
    </row>
    <row r="36">
      <c r="A36" s="0" t="s">
        <v>28</v>
      </c>
      <c r="B36" s="0" t="s">
        <v>30</v>
      </c>
      <c r="C36" s="0" t="s">
        <v>156</v>
      </c>
      <c r="D36" s="0" t="s">
        <v>1387</v>
      </c>
      <c r="E36" s="0" t="s">
        <v>976</v>
      </c>
      <c r="F36" s="0" t="b">
        <v>0</v>
      </c>
      <c r="G36" s="0" t="s">
        <v>114</v>
      </c>
      <c r="H36" s="0">
        <v>12</v>
      </c>
      <c r="I36" s="0">
        <v>42</v>
      </c>
      <c r="J36" s="0">
        <v>710</v>
      </c>
      <c r="K36" s="1">
        <f>=HYPERLINK("10.175.1.14\MWEB.12\SEP\EntityDetails.10.175.1.14.MWEB.12.-inet-test.j.710.xlsx", "&lt;Detail&gt;")</f>
      </c>
      <c r="L36" s="1">
        <f>=HYPERLINK("10.175.1.14\MWEB.12\SEP\MetricGraphs.SEP.10.175.1.14.MWEB.12.xlsx", "&lt;Metrics&gt;")</f>
      </c>
      <c r="M36" s="0" t="s">
        <v>101</v>
      </c>
      <c r="N36" s="0" t="s">
        <v>145</v>
      </c>
      <c r="O36" s="0" t="s">
        <v>157</v>
      </c>
      <c r="P36" s="0" t="s">
        <v>1388</v>
      </c>
    </row>
    <row r="37">
      <c r="A37" s="0" t="s">
        <v>28</v>
      </c>
      <c r="B37" s="0" t="s">
        <v>30</v>
      </c>
      <c r="C37" s="0" t="s">
        <v>156</v>
      </c>
      <c r="D37" s="0" t="s">
        <v>1016</v>
      </c>
      <c r="E37" s="0" t="s">
        <v>976</v>
      </c>
      <c r="F37" s="0" t="b">
        <v>0</v>
      </c>
      <c r="G37" s="0" t="s">
        <v>114</v>
      </c>
      <c r="H37" s="0">
        <v>12</v>
      </c>
      <c r="I37" s="0">
        <v>42</v>
      </c>
      <c r="J37" s="0">
        <v>181</v>
      </c>
      <c r="K37" s="1">
        <f>=HYPERLINK("10.175.1.14\MWEB.12\SEP\EntityDetails.10.175.1.14.MWEB.12.-inet-toto.181.xlsx", "&lt;Detail&gt;")</f>
      </c>
      <c r="L37" s="1">
        <f>=HYPERLINK("10.175.1.14\MWEB.12\SEP\MetricGraphs.SEP.10.175.1.14.MWEB.12.xlsx", "&lt;Metrics&gt;")</f>
      </c>
      <c r="M37" s="0" t="s">
        <v>101</v>
      </c>
      <c r="N37" s="0" t="s">
        <v>145</v>
      </c>
      <c r="O37" s="0" t="s">
        <v>157</v>
      </c>
      <c r="P37" s="0" t="s">
        <v>1389</v>
      </c>
    </row>
    <row r="38">
      <c r="A38" s="0" t="s">
        <v>28</v>
      </c>
      <c r="B38" s="0" t="s">
        <v>30</v>
      </c>
      <c r="C38" s="0" t="s">
        <v>156</v>
      </c>
      <c r="D38" s="0" t="s">
        <v>1018</v>
      </c>
      <c r="E38" s="0" t="s">
        <v>976</v>
      </c>
      <c r="F38" s="0" t="b">
        <v>0</v>
      </c>
      <c r="G38" s="0" t="s">
        <v>114</v>
      </c>
      <c r="H38" s="0">
        <v>12</v>
      </c>
      <c r="I38" s="0">
        <v>42</v>
      </c>
      <c r="J38" s="0">
        <v>190</v>
      </c>
      <c r="K38" s="1">
        <f>=HYPERLINK("10.175.1.14\MWEB.12\SEP\EntityDetails.10.175.1.14.MWEB.12.-inet-TotoSi.190.xlsx", "&lt;Detail&gt;")</f>
      </c>
      <c r="L38" s="1">
        <f>=HYPERLINK("10.175.1.14\MWEB.12\SEP\MetricGraphs.SEP.10.175.1.14.MWEB.12.xlsx", "&lt;Metrics&gt;")</f>
      </c>
      <c r="M38" s="0" t="s">
        <v>101</v>
      </c>
      <c r="N38" s="0" t="s">
        <v>145</v>
      </c>
      <c r="O38" s="0" t="s">
        <v>157</v>
      </c>
      <c r="P38" s="0" t="s">
        <v>1390</v>
      </c>
    </row>
    <row r="39">
      <c r="A39" s="0" t="s">
        <v>28</v>
      </c>
      <c r="B39" s="0" t="s">
        <v>30</v>
      </c>
      <c r="C39" s="0" t="s">
        <v>156</v>
      </c>
      <c r="D39" s="0" t="s">
        <v>1020</v>
      </c>
      <c r="E39" s="0" t="s">
        <v>976</v>
      </c>
      <c r="F39" s="0" t="b">
        <v>0</v>
      </c>
      <c r="G39" s="0" t="s">
        <v>114</v>
      </c>
      <c r="H39" s="0">
        <v>12</v>
      </c>
      <c r="I39" s="0">
        <v>42</v>
      </c>
      <c r="J39" s="0">
        <v>1177</v>
      </c>
      <c r="K39" s="1">
        <f>=HYPERLINK("10.175.1.14\MWEB.12\SEP\EntityDetails.10.175.1.14.MWEB.12.-intruvert-j.1177.xlsx", "&lt;Detail&gt;")</f>
      </c>
      <c r="L39" s="1">
        <f>=HYPERLINK("10.175.1.14\MWEB.12\SEP\MetricGraphs.SEP.10.175.1.14.MWEB.12.xlsx", "&lt;Metrics&gt;")</f>
      </c>
      <c r="M39" s="0" t="s">
        <v>101</v>
      </c>
      <c r="N39" s="0" t="s">
        <v>145</v>
      </c>
      <c r="O39" s="0" t="s">
        <v>157</v>
      </c>
      <c r="P39" s="0" t="s">
        <v>1391</v>
      </c>
    </row>
    <row r="40">
      <c r="A40" s="0" t="s">
        <v>28</v>
      </c>
      <c r="B40" s="0" t="s">
        <v>30</v>
      </c>
      <c r="C40" s="0" t="s">
        <v>156</v>
      </c>
      <c r="D40" s="0" t="s">
        <v>1022</v>
      </c>
      <c r="E40" s="0" t="s">
        <v>976</v>
      </c>
      <c r="F40" s="0" t="b">
        <v>0</v>
      </c>
      <c r="G40" s="0" t="s">
        <v>114</v>
      </c>
      <c r="H40" s="0">
        <v>12</v>
      </c>
      <c r="I40" s="0">
        <v>42</v>
      </c>
      <c r="J40" s="0">
        <v>202</v>
      </c>
      <c r="K40" s="1">
        <f>=HYPERLINK("10.175.1.14\MWEB.12\SEP\EntityDetails.10.175.1.14.MWEB.12.-IPJSETTLEME.202.xlsx", "&lt;Detail&gt;")</f>
      </c>
      <c r="L40" s="1">
        <f>=HYPERLINK("10.175.1.14\MWEB.12\SEP\MetricGraphs.SEP.10.175.1.14.MWEB.12.xlsx", "&lt;Metrics&gt;")</f>
      </c>
      <c r="M40" s="0" t="s">
        <v>101</v>
      </c>
      <c r="N40" s="0" t="s">
        <v>145</v>
      </c>
      <c r="O40" s="0" t="s">
        <v>157</v>
      </c>
      <c r="P40" s="0" t="s">
        <v>1392</v>
      </c>
    </row>
    <row r="41">
      <c r="A41" s="0" t="s">
        <v>28</v>
      </c>
      <c r="B41" s="0" t="s">
        <v>30</v>
      </c>
      <c r="C41" s="0" t="s">
        <v>156</v>
      </c>
      <c r="D41" s="0" t="s">
        <v>1024</v>
      </c>
      <c r="E41" s="0" t="s">
        <v>976</v>
      </c>
      <c r="F41" s="0" t="b">
        <v>0</v>
      </c>
      <c r="G41" s="0" t="s">
        <v>114</v>
      </c>
      <c r="H41" s="0">
        <v>12</v>
      </c>
      <c r="I41" s="0">
        <v>42</v>
      </c>
      <c r="J41" s="0">
        <v>216</v>
      </c>
      <c r="K41" s="1">
        <f>=HYPERLINK("10.175.1.14\MWEB.12\SEP\EntityDetails.10.175.1.14.MWEB.12.-JConnect-ac.216.xlsx", "&lt;Detail&gt;")</f>
      </c>
      <c r="L41" s="1">
        <f>=HYPERLINK("10.175.1.14\MWEB.12\SEP\MetricGraphs.SEP.10.175.1.14.MWEB.12.xlsx", "&lt;Metrics&gt;")</f>
      </c>
      <c r="M41" s="0" t="s">
        <v>101</v>
      </c>
      <c r="N41" s="0" t="s">
        <v>145</v>
      </c>
      <c r="O41" s="0" t="s">
        <v>157</v>
      </c>
      <c r="P41" s="0" t="s">
        <v>1393</v>
      </c>
    </row>
    <row r="42">
      <c r="A42" s="0" t="s">
        <v>28</v>
      </c>
      <c r="B42" s="0" t="s">
        <v>30</v>
      </c>
      <c r="C42" s="0" t="s">
        <v>156</v>
      </c>
      <c r="D42" s="0" t="s">
        <v>1394</v>
      </c>
      <c r="E42" s="0" t="s">
        <v>976</v>
      </c>
      <c r="F42" s="0" t="b">
        <v>0</v>
      </c>
      <c r="G42" s="0" t="s">
        <v>114</v>
      </c>
      <c r="H42" s="0">
        <v>12</v>
      </c>
      <c r="I42" s="0">
        <v>42</v>
      </c>
      <c r="J42" s="0">
        <v>1186</v>
      </c>
      <c r="K42" s="1">
        <f>=HYPERLINK("10.175.1.14\MWEB.12\SEP\EntityDetails.10.175.1.14.MWEB.12.-k5ouo4k7.js.1186.xlsx", "&lt;Detail&gt;")</f>
      </c>
      <c r="L42" s="1">
        <f>=HYPERLINK("10.175.1.14\MWEB.12\SEP\MetricGraphs.SEP.10.175.1.14.MWEB.12.xlsx", "&lt;Metrics&gt;")</f>
      </c>
      <c r="M42" s="0" t="s">
        <v>101</v>
      </c>
      <c r="N42" s="0" t="s">
        <v>145</v>
      </c>
      <c r="O42" s="0" t="s">
        <v>157</v>
      </c>
      <c r="P42" s="0" t="s">
        <v>1395</v>
      </c>
    </row>
    <row r="43">
      <c r="A43" s="0" t="s">
        <v>28</v>
      </c>
      <c r="B43" s="0" t="s">
        <v>30</v>
      </c>
      <c r="C43" s="0" t="s">
        <v>156</v>
      </c>
      <c r="D43" s="0" t="s">
        <v>1396</v>
      </c>
      <c r="E43" s="0" t="s">
        <v>976</v>
      </c>
      <c r="F43" s="0" t="b">
        <v>0</v>
      </c>
      <c r="G43" s="0" t="s">
        <v>114</v>
      </c>
      <c r="H43" s="0">
        <v>12</v>
      </c>
      <c r="I43" s="0">
        <v>42</v>
      </c>
      <c r="J43" s="0">
        <v>1190</v>
      </c>
      <c r="K43" s="1">
        <f>=HYPERLINK("10.175.1.14\MWEB.12\SEP\EntityDetails.10.175.1.14.MWEB.12.-login.jsp.1190.xlsx", "&lt;Detail&gt;")</f>
      </c>
      <c r="L43" s="1">
        <f>=HYPERLINK("10.175.1.14\MWEB.12\SEP\MetricGraphs.SEP.10.175.1.14.MWEB.12.xlsx", "&lt;Metrics&gt;")</f>
      </c>
      <c r="M43" s="0" t="s">
        <v>101</v>
      </c>
      <c r="N43" s="0" t="s">
        <v>145</v>
      </c>
      <c r="O43" s="0" t="s">
        <v>157</v>
      </c>
      <c r="P43" s="0" t="s">
        <v>1397</v>
      </c>
    </row>
    <row r="44">
      <c r="A44" s="0" t="s">
        <v>28</v>
      </c>
      <c r="B44" s="0" t="s">
        <v>30</v>
      </c>
      <c r="C44" s="0" t="s">
        <v>156</v>
      </c>
      <c r="D44" s="0" t="s">
        <v>1398</v>
      </c>
      <c r="E44" s="0" t="s">
        <v>976</v>
      </c>
      <c r="F44" s="0" t="b">
        <v>0</v>
      </c>
      <c r="G44" s="0" t="s">
        <v>114</v>
      </c>
      <c r="H44" s="0">
        <v>12</v>
      </c>
      <c r="I44" s="0">
        <v>42</v>
      </c>
      <c r="J44" s="0">
        <v>1193</v>
      </c>
      <c r="K44" s="1">
        <f>=HYPERLINK("10.175.1.14\MWEB.12\SEP\EntityDetails.10.175.1.14.MWEB.12.-logon.jsp.1193.xlsx", "&lt;Detail&gt;")</f>
      </c>
      <c r="L44" s="1">
        <f>=HYPERLINK("10.175.1.14\MWEB.12\SEP\MetricGraphs.SEP.10.175.1.14.MWEB.12.xlsx", "&lt;Metrics&gt;")</f>
      </c>
      <c r="M44" s="0" t="s">
        <v>101</v>
      </c>
      <c r="N44" s="0" t="s">
        <v>145</v>
      </c>
      <c r="O44" s="0" t="s">
        <v>157</v>
      </c>
      <c r="P44" s="0" t="s">
        <v>1399</v>
      </c>
    </row>
    <row r="45">
      <c r="A45" s="0" t="s">
        <v>28</v>
      </c>
      <c r="B45" s="0" t="s">
        <v>30</v>
      </c>
      <c r="C45" s="0" t="s">
        <v>156</v>
      </c>
      <c r="D45" s="0" t="s">
        <v>1026</v>
      </c>
      <c r="E45" s="0" t="s">
        <v>976</v>
      </c>
      <c r="F45" s="0" t="b">
        <v>0</v>
      </c>
      <c r="G45" s="0" t="s">
        <v>114</v>
      </c>
      <c r="H45" s="0">
        <v>12</v>
      </c>
      <c r="I45" s="0">
        <v>42</v>
      </c>
      <c r="J45" s="0">
        <v>148</v>
      </c>
      <c r="K45" s="1">
        <f>=HYPERLINK("10.175.1.14\MWEB.12\SEP\EntityDetails.10.175.1.14.MWEB.12.-management-.148.xlsx", "&lt;Detail&gt;")</f>
      </c>
      <c r="L45" s="1">
        <f>=HYPERLINK("10.175.1.14\MWEB.12\SEP\MetricGraphs.SEP.10.175.1.14.MWEB.12.xlsx", "&lt;Metrics&gt;")</f>
      </c>
      <c r="M45" s="0" t="s">
        <v>101</v>
      </c>
      <c r="N45" s="0" t="s">
        <v>145</v>
      </c>
      <c r="O45" s="0" t="s">
        <v>157</v>
      </c>
      <c r="P45" s="0" t="s">
        <v>1400</v>
      </c>
    </row>
    <row r="46">
      <c r="A46" s="0" t="s">
        <v>28</v>
      </c>
      <c r="B46" s="0" t="s">
        <v>30</v>
      </c>
      <c r="C46" s="0" t="s">
        <v>156</v>
      </c>
      <c r="D46" s="0" t="s">
        <v>1401</v>
      </c>
      <c r="E46" s="0" t="s">
        <v>976</v>
      </c>
      <c r="F46" s="0" t="b">
        <v>0</v>
      </c>
      <c r="G46" s="0" t="s">
        <v>114</v>
      </c>
      <c r="H46" s="0">
        <v>12</v>
      </c>
      <c r="I46" s="0">
        <v>42</v>
      </c>
      <c r="J46" s="0">
        <v>1198</v>
      </c>
      <c r="K46" s="1">
        <f>=HYPERLINK("10.175.1.14\MWEB.12\SEP\EntityDetails.10.175.1.14.MWEB.12.-niet1707462.1198.xlsx", "&lt;Detail&gt;")</f>
      </c>
      <c r="L46" s="1">
        <f>=HYPERLINK("10.175.1.14\MWEB.12\SEP\MetricGraphs.SEP.10.175.1.14.MWEB.12.xlsx", "&lt;Metrics&gt;")</f>
      </c>
      <c r="M46" s="0" t="s">
        <v>101</v>
      </c>
      <c r="N46" s="0" t="s">
        <v>145</v>
      </c>
      <c r="O46" s="0" t="s">
        <v>157</v>
      </c>
      <c r="P46" s="0" t="s">
        <v>1402</v>
      </c>
    </row>
    <row r="47">
      <c r="A47" s="0" t="s">
        <v>28</v>
      </c>
      <c r="B47" s="0" t="s">
        <v>30</v>
      </c>
      <c r="C47" s="0" t="s">
        <v>156</v>
      </c>
      <c r="D47" s="0" t="s">
        <v>1403</v>
      </c>
      <c r="E47" s="0" t="s">
        <v>976</v>
      </c>
      <c r="F47" s="0" t="b">
        <v>0</v>
      </c>
      <c r="G47" s="0" t="s">
        <v>114</v>
      </c>
      <c r="H47" s="0">
        <v>12</v>
      </c>
      <c r="I47" s="0">
        <v>42</v>
      </c>
      <c r="J47" s="0">
        <v>332</v>
      </c>
      <c r="K47" s="1">
        <f>=HYPERLINK("10.175.1.14\MWEB.12\SEP\EntityDetails.10.175.1.14.MWEB.12.-OEM-CGI_ous.332.xlsx", "&lt;Detail&gt;")</f>
      </c>
      <c r="L47" s="1">
        <f>=HYPERLINK("10.175.1.14\MWEB.12\SEP\MetricGraphs.SEP.10.175.1.14.MWEB.12.xlsx", "&lt;Metrics&gt;")</f>
      </c>
      <c r="M47" s="0" t="s">
        <v>101</v>
      </c>
      <c r="N47" s="0" t="s">
        <v>145</v>
      </c>
      <c r="O47" s="0" t="s">
        <v>157</v>
      </c>
      <c r="P47" s="0" t="s">
        <v>1404</v>
      </c>
    </row>
    <row r="48">
      <c r="A48" s="0" t="s">
        <v>28</v>
      </c>
      <c r="B48" s="0" t="s">
        <v>30</v>
      </c>
      <c r="C48" s="0" t="s">
        <v>156</v>
      </c>
      <c r="D48" s="0" t="s">
        <v>1101</v>
      </c>
      <c r="E48" s="0" t="s">
        <v>976</v>
      </c>
      <c r="F48" s="0" t="b">
        <v>0</v>
      </c>
      <c r="G48" s="0" t="s">
        <v>114</v>
      </c>
      <c r="H48" s="0">
        <v>12</v>
      </c>
      <c r="I48" s="0">
        <v>42</v>
      </c>
      <c r="J48" s="0">
        <v>168</v>
      </c>
      <c r="K48" s="1">
        <f>=HYPERLINK("10.175.1.14\MWEB.12\SEP\EntityDetails.10.175.1.14.MWEB.12.-ondelay-odc.168.xlsx", "&lt;Detail&gt;")</f>
      </c>
      <c r="L48" s="1">
        <f>=HYPERLINK("10.175.1.14\MWEB.12\SEP\MetricGraphs.SEP.10.175.1.14.MWEB.12.xlsx", "&lt;Metrics&gt;")</f>
      </c>
      <c r="M48" s="0" t="s">
        <v>101</v>
      </c>
      <c r="N48" s="0" t="s">
        <v>145</v>
      </c>
      <c r="O48" s="0" t="s">
        <v>157</v>
      </c>
      <c r="P48" s="0" t="s">
        <v>1405</v>
      </c>
    </row>
    <row r="49">
      <c r="A49" s="0" t="s">
        <v>28</v>
      </c>
      <c r="B49" s="0" t="s">
        <v>30</v>
      </c>
      <c r="C49" s="0" t="s">
        <v>156</v>
      </c>
      <c r="D49" s="0" t="s">
        <v>1406</v>
      </c>
      <c r="E49" s="0" t="s">
        <v>976</v>
      </c>
      <c r="F49" s="0" t="b">
        <v>0</v>
      </c>
      <c r="G49" s="0" t="s">
        <v>114</v>
      </c>
      <c r="H49" s="0">
        <v>12</v>
      </c>
      <c r="I49" s="0">
        <v>42</v>
      </c>
      <c r="J49" s="0">
        <v>1189</v>
      </c>
      <c r="K49" s="1">
        <f>=HYPERLINK("10.175.1.14\MWEB.12\SEP\EntityDetails.10.175.1.14.MWEB.12.-reporter-cl.1189.xlsx", "&lt;Detail&gt;")</f>
      </c>
      <c r="L49" s="1">
        <f>=HYPERLINK("10.175.1.14\MWEB.12\SEP\MetricGraphs.SEP.10.175.1.14.MWEB.12.xlsx", "&lt;Metrics&gt;")</f>
      </c>
      <c r="M49" s="0" t="s">
        <v>101</v>
      </c>
      <c r="N49" s="0" t="s">
        <v>145</v>
      </c>
      <c r="O49" s="0" t="s">
        <v>157</v>
      </c>
      <c r="P49" s="0" t="s">
        <v>1407</v>
      </c>
    </row>
    <row r="50">
      <c r="A50" s="0" t="s">
        <v>28</v>
      </c>
      <c r="B50" s="0" t="s">
        <v>30</v>
      </c>
      <c r="C50" s="0" t="s">
        <v>156</v>
      </c>
      <c r="D50" s="0" t="s">
        <v>1408</v>
      </c>
      <c r="E50" s="0" t="s">
        <v>976</v>
      </c>
      <c r="F50" s="0" t="b">
        <v>0</v>
      </c>
      <c r="G50" s="0" t="s">
        <v>114</v>
      </c>
      <c r="H50" s="0">
        <v>12</v>
      </c>
      <c r="I50" s="0">
        <v>42</v>
      </c>
      <c r="J50" s="0">
        <v>1185</v>
      </c>
      <c r="K50" s="1">
        <f>=HYPERLINK("10.175.1.14\MWEB.12\SEP\EntityDetails.10.175.1.14.MWEB.12.-userportal-.1185.xlsx", "&lt;Detail&gt;")</f>
      </c>
      <c r="L50" s="1">
        <f>=HYPERLINK("10.175.1.14\MWEB.12\SEP\MetricGraphs.SEP.10.175.1.14.MWEB.12.xlsx", "&lt;Metrics&gt;")</f>
      </c>
      <c r="M50" s="0" t="s">
        <v>101</v>
      </c>
      <c r="N50" s="0" t="s">
        <v>145</v>
      </c>
      <c r="O50" s="0" t="s">
        <v>157</v>
      </c>
      <c r="P50" s="0" t="s">
        <v>1409</v>
      </c>
    </row>
    <row r="51">
      <c r="A51" s="0" t="s">
        <v>28</v>
      </c>
      <c r="B51" s="0" t="s">
        <v>30</v>
      </c>
      <c r="C51" s="0" t="s">
        <v>156</v>
      </c>
      <c r="D51" s="0" t="s">
        <v>1410</v>
      </c>
      <c r="E51" s="0" t="s">
        <v>976</v>
      </c>
      <c r="F51" s="0" t="b">
        <v>0</v>
      </c>
      <c r="G51" s="0" t="s">
        <v>114</v>
      </c>
      <c r="H51" s="0">
        <v>12</v>
      </c>
      <c r="I51" s="0">
        <v>42</v>
      </c>
      <c r="J51" s="0">
        <v>1188</v>
      </c>
      <c r="K51" s="1">
        <f>=HYPERLINK("10.175.1.14\MWEB.12\SEP\EntityDetails.10.175.1.14.MWEB.12.-webconsole-.1188.xlsx", "&lt;Detail&gt;")</f>
      </c>
      <c r="L51" s="1">
        <f>=HYPERLINK("10.175.1.14\MWEB.12\SEP\MetricGraphs.SEP.10.175.1.14.MWEB.12.xlsx", "&lt;Metrics&gt;")</f>
      </c>
      <c r="M51" s="0" t="s">
        <v>101</v>
      </c>
      <c r="N51" s="0" t="s">
        <v>145</v>
      </c>
      <c r="O51" s="0" t="s">
        <v>157</v>
      </c>
      <c r="P51" s="0" t="s">
        <v>1411</v>
      </c>
    </row>
    <row r="52">
      <c r="A52" s="0" t="s">
        <v>28</v>
      </c>
      <c r="B52" s="0" t="s">
        <v>30</v>
      </c>
      <c r="C52" s="0" t="s">
        <v>156</v>
      </c>
      <c r="D52" s="0" t="s">
        <v>1028</v>
      </c>
      <c r="E52" s="0" t="s">
        <v>976</v>
      </c>
      <c r="F52" s="0" t="b">
        <v>0</v>
      </c>
      <c r="G52" s="0" t="s">
        <v>114</v>
      </c>
      <c r="H52" s="0">
        <v>12</v>
      </c>
      <c r="I52" s="0">
        <v>42</v>
      </c>
      <c r="J52" s="0">
        <v>162</v>
      </c>
      <c r="K52" s="1">
        <f>=HYPERLINK("10.175.1.14\MWEB.12\SEP\EntityDetails.10.175.1.14.MWEB.12.-WEB-INF-jsp.162.xlsx", "&lt;Detail&gt;")</f>
      </c>
      <c r="L52" s="1">
        <f>=HYPERLINK("10.175.1.14\MWEB.12\SEP\MetricGraphs.SEP.10.175.1.14.MWEB.12.xlsx", "&lt;Metrics&gt;")</f>
      </c>
      <c r="M52" s="0" t="s">
        <v>101</v>
      </c>
      <c r="N52" s="0" t="s">
        <v>145</v>
      </c>
      <c r="O52" s="0" t="s">
        <v>157</v>
      </c>
      <c r="P52" s="0" t="s">
        <v>1412</v>
      </c>
    </row>
    <row r="53">
      <c r="A53" s="0" t="s">
        <v>28</v>
      </c>
      <c r="B53" s="0" t="s">
        <v>30</v>
      </c>
      <c r="C53" s="0" t="s">
        <v>156</v>
      </c>
      <c r="D53" s="0" t="s">
        <v>1413</v>
      </c>
      <c r="E53" s="0" t="s">
        <v>1414</v>
      </c>
      <c r="F53" s="0" t="b">
        <v>0</v>
      </c>
      <c r="G53" s="0" t="s">
        <v>114</v>
      </c>
      <c r="H53" s="0">
        <v>12</v>
      </c>
      <c r="I53" s="0">
        <v>42</v>
      </c>
      <c r="J53" s="0">
        <v>193</v>
      </c>
      <c r="K53" s="1">
        <f>=HYPERLINK("10.175.1.14\MWEB.12\SEP\EntityDetails.10.175.1.14.MWEB.12.CommThread.193.xlsx", "&lt;Detail&gt;")</f>
      </c>
      <c r="L53" s="1">
        <f>=HYPERLINK("10.175.1.14\MWEB.12\SEP\MetricGraphs.SEP.10.175.1.14.MWEB.12.xlsx", "&lt;Metrics&gt;")</f>
      </c>
      <c r="M53" s="0" t="s">
        <v>101</v>
      </c>
      <c r="N53" s="0" t="s">
        <v>145</v>
      </c>
      <c r="O53" s="0" t="s">
        <v>157</v>
      </c>
      <c r="P53" s="0" t="s">
        <v>1415</v>
      </c>
    </row>
    <row r="54">
      <c r="A54" s="0" t="s">
        <v>28</v>
      </c>
      <c r="B54" s="0" t="s">
        <v>30</v>
      </c>
      <c r="C54" s="0" t="s">
        <v>156</v>
      </c>
      <c r="D54" s="0" t="s">
        <v>1416</v>
      </c>
      <c r="E54" s="0" t="s">
        <v>1414</v>
      </c>
      <c r="F54" s="0" t="b">
        <v>0</v>
      </c>
      <c r="G54" s="0" t="s">
        <v>114</v>
      </c>
      <c r="H54" s="0">
        <v>12</v>
      </c>
      <c r="I54" s="0">
        <v>42</v>
      </c>
      <c r="J54" s="0">
        <v>223</v>
      </c>
      <c r="K54" s="1">
        <f>=HYPERLINK("10.175.1.14\MWEB.12\SEP\EntityDetails.10.175.1.14.MWEB.12.ServiceProce.223.xlsx", "&lt;Detail&gt;")</f>
      </c>
      <c r="L54" s="1">
        <f>=HYPERLINK("10.175.1.14\MWEB.12\SEP\MetricGraphs.SEP.10.175.1.14.MWEB.12.xlsx", "&lt;Metrics&gt;")</f>
      </c>
      <c r="M54" s="0" t="s">
        <v>101</v>
      </c>
      <c r="N54" s="0" t="s">
        <v>145</v>
      </c>
      <c r="O54" s="0" t="s">
        <v>157</v>
      </c>
      <c r="P54" s="0" t="s">
        <v>1417</v>
      </c>
    </row>
    <row r="55">
      <c r="A55" s="0" t="s">
        <v>28</v>
      </c>
      <c r="B55" s="0" t="s">
        <v>30</v>
      </c>
      <c r="C55" s="0" t="s">
        <v>158</v>
      </c>
      <c r="D55" s="0" t="s">
        <v>1269</v>
      </c>
      <c r="E55" s="0" t="s">
        <v>1270</v>
      </c>
      <c r="F55" s="0" t="b">
        <v>0</v>
      </c>
      <c r="G55" s="0" t="s">
        <v>114</v>
      </c>
      <c r="H55" s="0">
        <v>12</v>
      </c>
      <c r="I55" s="0">
        <v>39</v>
      </c>
      <c r="J55" s="0">
        <v>103</v>
      </c>
      <c r="K55" s="1">
        <f>=HYPERLINK("10.175.1.14\MWEB.12\SEP\EntityDetails.10.175.1.14.MWEB.12.-.POST.103.xlsx", "&lt;Detail&gt;")</f>
      </c>
      <c r="L55" s="1">
        <f>=HYPERLINK("10.175.1.14\MWEB.12\SEP\MetricGraphs.SEP.10.175.1.14.MWEB.12.xlsx", "&lt;Metrics&gt;")</f>
      </c>
      <c r="M55" s="0" t="s">
        <v>101</v>
      </c>
      <c r="N55" s="0" t="s">
        <v>145</v>
      </c>
      <c r="O55" s="0" t="s">
        <v>159</v>
      </c>
      <c r="P55" s="0" t="s">
        <v>1418</v>
      </c>
    </row>
    <row r="56">
      <c r="A56" s="0" t="s">
        <v>28</v>
      </c>
      <c r="B56" s="0" t="s">
        <v>30</v>
      </c>
      <c r="C56" s="0" t="s">
        <v>158</v>
      </c>
      <c r="D56" s="0" t="s">
        <v>975</v>
      </c>
      <c r="E56" s="0" t="s">
        <v>976</v>
      </c>
      <c r="F56" s="0" t="b">
        <v>0</v>
      </c>
      <c r="G56" s="0" t="s">
        <v>114</v>
      </c>
      <c r="H56" s="0">
        <v>12</v>
      </c>
      <c r="I56" s="0">
        <v>39</v>
      </c>
      <c r="J56" s="0">
        <v>1196</v>
      </c>
      <c r="K56" s="1">
        <f>=HYPERLINK("10.175.1.14\MWEB.12\SEP\EntityDetails.10.175.1.14.MWEB.12.-admin-login.1196.xlsx", "&lt;Detail&gt;")</f>
      </c>
      <c r="L56" s="1">
        <f>=HYPERLINK("10.175.1.14\MWEB.12\SEP\MetricGraphs.SEP.10.175.1.14.MWEB.12.xlsx", "&lt;Metrics&gt;")</f>
      </c>
      <c r="M56" s="0" t="s">
        <v>101</v>
      </c>
      <c r="N56" s="0" t="s">
        <v>145</v>
      </c>
      <c r="O56" s="0" t="s">
        <v>159</v>
      </c>
      <c r="P56" s="0" t="s">
        <v>1419</v>
      </c>
    </row>
    <row r="57">
      <c r="A57" s="0" t="s">
        <v>28</v>
      </c>
      <c r="B57" s="0" t="s">
        <v>30</v>
      </c>
      <c r="C57" s="0" t="s">
        <v>158</v>
      </c>
      <c r="D57" s="0" t="s">
        <v>1360</v>
      </c>
      <c r="E57" s="0" t="s">
        <v>976</v>
      </c>
      <c r="F57" s="0" t="b">
        <v>0</v>
      </c>
      <c r="G57" s="0" t="s">
        <v>114</v>
      </c>
      <c r="H57" s="0">
        <v>12</v>
      </c>
      <c r="I57" s="0">
        <v>39</v>
      </c>
      <c r="J57" s="0">
        <v>1207</v>
      </c>
      <c r="K57" s="1">
        <f>=HYPERLINK("10.175.1.14\MWEB.12\SEP\EntityDetails.10.175.1.14.MWEB.12.-CSCOnm-serv.1207.xlsx", "&lt;Detail&gt;")</f>
      </c>
      <c r="L57" s="1">
        <f>=HYPERLINK("10.175.1.14\MWEB.12\SEP\MetricGraphs.SEP.10.175.1.14.MWEB.12.xlsx", "&lt;Metrics&gt;")</f>
      </c>
      <c r="M57" s="0" t="s">
        <v>101</v>
      </c>
      <c r="N57" s="0" t="s">
        <v>145</v>
      </c>
      <c r="O57" s="0" t="s">
        <v>159</v>
      </c>
      <c r="P57" s="0" t="s">
        <v>1420</v>
      </c>
    </row>
    <row r="58">
      <c r="A58" s="0" t="s">
        <v>28</v>
      </c>
      <c r="B58" s="0" t="s">
        <v>30</v>
      </c>
      <c r="C58" s="0" t="s">
        <v>158</v>
      </c>
      <c r="D58" s="0" t="s">
        <v>1362</v>
      </c>
      <c r="E58" s="0" t="s">
        <v>976</v>
      </c>
      <c r="F58" s="0" t="b">
        <v>0</v>
      </c>
      <c r="G58" s="0" t="s">
        <v>114</v>
      </c>
      <c r="H58" s="0">
        <v>12</v>
      </c>
      <c r="I58" s="0">
        <v>39</v>
      </c>
      <c r="J58" s="0">
        <v>1206</v>
      </c>
      <c r="K58" s="1">
        <f>=HYPERLINK("10.175.1.14\MWEB.12\SEP\EntityDetails.10.175.1.14.MWEB.12.-cwhp-CSMSDe.1206.xlsx", "&lt;Detail&gt;")</f>
      </c>
      <c r="L58" s="1">
        <f>=HYPERLINK("10.175.1.14\MWEB.12\SEP\MetricGraphs.SEP.10.175.1.14.MWEB.12.xlsx", "&lt;Metrics&gt;")</f>
      </c>
      <c r="M58" s="0" t="s">
        <v>101</v>
      </c>
      <c r="N58" s="0" t="s">
        <v>145</v>
      </c>
      <c r="O58" s="0" t="s">
        <v>159</v>
      </c>
      <c r="P58" s="0" t="s">
        <v>1421</v>
      </c>
    </row>
    <row r="59">
      <c r="A59" s="0" t="s">
        <v>28</v>
      </c>
      <c r="B59" s="0" t="s">
        <v>30</v>
      </c>
      <c r="C59" s="0" t="s">
        <v>158</v>
      </c>
      <c r="D59" s="0" t="s">
        <v>982</v>
      </c>
      <c r="E59" s="0" t="s">
        <v>976</v>
      </c>
      <c r="F59" s="0" t="b">
        <v>0</v>
      </c>
      <c r="G59" s="0" t="s">
        <v>114</v>
      </c>
      <c r="H59" s="0">
        <v>12</v>
      </c>
      <c r="I59" s="0">
        <v>39</v>
      </c>
      <c r="J59" s="0">
        <v>1195</v>
      </c>
      <c r="K59" s="1">
        <f>=HYPERLINK("10.175.1.14\MWEB.12\SEP\EntityDetails.10.175.1.14.MWEB.12.-dms2-Login..1195.xlsx", "&lt;Detail&gt;")</f>
      </c>
      <c r="L59" s="1">
        <f>=HYPERLINK("10.175.1.14\MWEB.12\SEP\MetricGraphs.SEP.10.175.1.14.MWEB.12.xlsx", "&lt;Metrics&gt;")</f>
      </c>
      <c r="M59" s="0" t="s">
        <v>101</v>
      </c>
      <c r="N59" s="0" t="s">
        <v>145</v>
      </c>
      <c r="O59" s="0" t="s">
        <v>159</v>
      </c>
      <c r="P59" s="0" t="s">
        <v>1422</v>
      </c>
    </row>
    <row r="60">
      <c r="A60" s="0" t="s">
        <v>28</v>
      </c>
      <c r="B60" s="0" t="s">
        <v>30</v>
      </c>
      <c r="C60" s="0" t="s">
        <v>158</v>
      </c>
      <c r="D60" s="0" t="s">
        <v>1423</v>
      </c>
      <c r="E60" s="0" t="s">
        <v>976</v>
      </c>
      <c r="F60" s="0" t="b">
        <v>0</v>
      </c>
      <c r="G60" s="0" t="s">
        <v>114</v>
      </c>
      <c r="H60" s="0">
        <v>12</v>
      </c>
      <c r="I60" s="0">
        <v>39</v>
      </c>
      <c r="J60" s="0">
        <v>1211</v>
      </c>
      <c r="K60" s="1">
        <f>=HYPERLINK("10.175.1.14\MWEB.12\SEP\EntityDetails.10.175.1.14.MWEB.12.-f360-login..1211.xlsx", "&lt;Detail&gt;")</f>
      </c>
      <c r="L60" s="1">
        <f>=HYPERLINK("10.175.1.14\MWEB.12\SEP\MetricGraphs.SEP.10.175.1.14.MWEB.12.xlsx", "&lt;Metrics&gt;")</f>
      </c>
      <c r="M60" s="0" t="s">
        <v>101</v>
      </c>
      <c r="N60" s="0" t="s">
        <v>145</v>
      </c>
      <c r="O60" s="0" t="s">
        <v>159</v>
      </c>
      <c r="P60" s="0" t="s">
        <v>1424</v>
      </c>
    </row>
    <row r="61">
      <c r="A61" s="0" t="s">
        <v>28</v>
      </c>
      <c r="B61" s="0" t="s">
        <v>30</v>
      </c>
      <c r="C61" s="0" t="s">
        <v>158</v>
      </c>
      <c r="D61" s="0" t="s">
        <v>984</v>
      </c>
      <c r="E61" s="0" t="s">
        <v>976</v>
      </c>
      <c r="F61" s="0" t="b">
        <v>0</v>
      </c>
      <c r="G61" s="0" t="s">
        <v>114</v>
      </c>
      <c r="H61" s="0">
        <v>12</v>
      </c>
      <c r="I61" s="0">
        <v>39</v>
      </c>
      <c r="J61" s="0">
        <v>106</v>
      </c>
      <c r="K61" s="1">
        <f>=HYPERLINK("10.175.1.14\MWEB.12\SEP\EntityDetails.10.175.1.14.MWEB.12.-HealthMonit.106.xlsx", "&lt;Detail&gt;")</f>
      </c>
      <c r="L61" s="1">
        <f>=HYPERLINK("10.175.1.14\MWEB.12\SEP\MetricGraphs.SEP.10.175.1.14.MWEB.12.xlsx", "&lt;Metrics&gt;")</f>
      </c>
      <c r="M61" s="0" t="s">
        <v>101</v>
      </c>
      <c r="N61" s="0" t="s">
        <v>145</v>
      </c>
      <c r="O61" s="0" t="s">
        <v>159</v>
      </c>
      <c r="P61" s="0" t="s">
        <v>1425</v>
      </c>
    </row>
    <row r="62">
      <c r="A62" s="0" t="s">
        <v>28</v>
      </c>
      <c r="B62" s="0" t="s">
        <v>30</v>
      </c>
      <c r="C62" s="0" t="s">
        <v>158</v>
      </c>
      <c r="D62" s="0" t="s">
        <v>1426</v>
      </c>
      <c r="E62" s="0" t="s">
        <v>976</v>
      </c>
      <c r="F62" s="0" t="b">
        <v>0</v>
      </c>
      <c r="G62" s="0" t="s">
        <v>114</v>
      </c>
      <c r="H62" s="0">
        <v>12</v>
      </c>
      <c r="I62" s="0">
        <v>39</v>
      </c>
      <c r="J62" s="0">
        <v>1213</v>
      </c>
      <c r="K62" s="1">
        <f>=HYPERLINK("10.175.1.14\MWEB.12\SEP\EntityDetails.10.175.1.14.MWEB.12.-IDMProv-jsp.1213.xlsx", "&lt;Detail&gt;")</f>
      </c>
      <c r="L62" s="1">
        <f>=HYPERLINK("10.175.1.14\MWEB.12\SEP\MetricGraphs.SEP.10.175.1.14.MWEB.12.xlsx", "&lt;Metrics&gt;")</f>
      </c>
      <c r="M62" s="0" t="s">
        <v>101</v>
      </c>
      <c r="N62" s="0" t="s">
        <v>145</v>
      </c>
      <c r="O62" s="0" t="s">
        <v>159</v>
      </c>
      <c r="P62" s="0" t="s">
        <v>1427</v>
      </c>
    </row>
    <row r="63">
      <c r="A63" s="0" t="s">
        <v>28</v>
      </c>
      <c r="B63" s="0" t="s">
        <v>30</v>
      </c>
      <c r="C63" s="0" t="s">
        <v>158</v>
      </c>
      <c r="D63" s="0" t="s">
        <v>1368</v>
      </c>
      <c r="E63" s="0" t="s">
        <v>976</v>
      </c>
      <c r="F63" s="0" t="b">
        <v>0</v>
      </c>
      <c r="G63" s="0" t="s">
        <v>114</v>
      </c>
      <c r="H63" s="0">
        <v>12</v>
      </c>
      <c r="I63" s="0">
        <v>39</v>
      </c>
      <c r="J63" s="0">
        <v>1201</v>
      </c>
      <c r="K63" s="1">
        <f>=HYPERLINK("10.175.1.14\MWEB.12\SEP\EntityDetails.10.175.1.14.MWEB.12.-index.jsp.1201.xlsx", "&lt;Detail&gt;")</f>
      </c>
      <c r="L63" s="1">
        <f>=HYPERLINK("10.175.1.14\MWEB.12\SEP\MetricGraphs.SEP.10.175.1.14.MWEB.12.xlsx", "&lt;Metrics&gt;")</f>
      </c>
      <c r="M63" s="0" t="s">
        <v>101</v>
      </c>
      <c r="N63" s="0" t="s">
        <v>145</v>
      </c>
      <c r="O63" s="0" t="s">
        <v>159</v>
      </c>
      <c r="P63" s="0" t="s">
        <v>1428</v>
      </c>
    </row>
    <row r="64">
      <c r="A64" s="0" t="s">
        <v>28</v>
      </c>
      <c r="B64" s="0" t="s">
        <v>30</v>
      </c>
      <c r="C64" s="0" t="s">
        <v>158</v>
      </c>
      <c r="D64" s="0" t="s">
        <v>1034</v>
      </c>
      <c r="E64" s="0" t="s">
        <v>976</v>
      </c>
      <c r="F64" s="0" t="b">
        <v>0</v>
      </c>
      <c r="G64" s="0" t="s">
        <v>114</v>
      </c>
      <c r="H64" s="0">
        <v>12</v>
      </c>
      <c r="I64" s="0">
        <v>39</v>
      </c>
      <c r="J64" s="0">
        <v>299</v>
      </c>
      <c r="K64" s="1">
        <f>=HYPERLINK("10.175.1.14\MWEB.12\SEP\EntityDetails.10.175.1.14.MWEB.12.-inet-nyukai.299.xlsx", "&lt;Detail&gt;")</f>
      </c>
      <c r="L64" s="1">
        <f>=HYPERLINK("10.175.1.14\MWEB.12\SEP\MetricGraphs.SEP.10.175.1.14.MWEB.12.xlsx", "&lt;Metrics&gt;")</f>
      </c>
      <c r="M64" s="0" t="s">
        <v>101</v>
      </c>
      <c r="N64" s="0" t="s">
        <v>145</v>
      </c>
      <c r="O64" s="0" t="s">
        <v>159</v>
      </c>
      <c r="P64" s="0" t="s">
        <v>1429</v>
      </c>
    </row>
    <row r="65">
      <c r="A65" s="0" t="s">
        <v>28</v>
      </c>
      <c r="B65" s="0" t="s">
        <v>30</v>
      </c>
      <c r="C65" s="0" t="s">
        <v>158</v>
      </c>
      <c r="D65" s="0" t="s">
        <v>1020</v>
      </c>
      <c r="E65" s="0" t="s">
        <v>976</v>
      </c>
      <c r="F65" s="0" t="b">
        <v>0</v>
      </c>
      <c r="G65" s="0" t="s">
        <v>114</v>
      </c>
      <c r="H65" s="0">
        <v>12</v>
      </c>
      <c r="I65" s="0">
        <v>39</v>
      </c>
      <c r="J65" s="0">
        <v>1199</v>
      </c>
      <c r="K65" s="1">
        <f>=HYPERLINK("10.175.1.14\MWEB.12\SEP\EntityDetails.10.175.1.14.MWEB.12.-intruvert-j.1199.xlsx", "&lt;Detail&gt;")</f>
      </c>
      <c r="L65" s="1">
        <f>=HYPERLINK("10.175.1.14\MWEB.12\SEP\MetricGraphs.SEP.10.175.1.14.MWEB.12.xlsx", "&lt;Metrics&gt;")</f>
      </c>
      <c r="M65" s="0" t="s">
        <v>101</v>
      </c>
      <c r="N65" s="0" t="s">
        <v>145</v>
      </c>
      <c r="O65" s="0" t="s">
        <v>159</v>
      </c>
      <c r="P65" s="0" t="s">
        <v>1430</v>
      </c>
    </row>
    <row r="66">
      <c r="A66" s="0" t="s">
        <v>28</v>
      </c>
      <c r="B66" s="0" t="s">
        <v>30</v>
      </c>
      <c r="C66" s="0" t="s">
        <v>158</v>
      </c>
      <c r="D66" s="0" t="s">
        <v>1396</v>
      </c>
      <c r="E66" s="0" t="s">
        <v>976</v>
      </c>
      <c r="F66" s="0" t="b">
        <v>0</v>
      </c>
      <c r="G66" s="0" t="s">
        <v>114</v>
      </c>
      <c r="H66" s="0">
        <v>12</v>
      </c>
      <c r="I66" s="0">
        <v>39</v>
      </c>
      <c r="J66" s="0">
        <v>1205</v>
      </c>
      <c r="K66" s="1">
        <f>=HYPERLINK("10.175.1.14\MWEB.12\SEP\EntityDetails.10.175.1.14.MWEB.12.-login.jsp.1205.xlsx", "&lt;Detail&gt;")</f>
      </c>
      <c r="L66" s="1">
        <f>=HYPERLINK("10.175.1.14\MWEB.12\SEP\MetricGraphs.SEP.10.175.1.14.MWEB.12.xlsx", "&lt;Metrics&gt;")</f>
      </c>
      <c r="M66" s="0" t="s">
        <v>101</v>
      </c>
      <c r="N66" s="0" t="s">
        <v>145</v>
      </c>
      <c r="O66" s="0" t="s">
        <v>159</v>
      </c>
      <c r="P66" s="0" t="s">
        <v>1431</v>
      </c>
    </row>
    <row r="67">
      <c r="A67" s="0" t="s">
        <v>28</v>
      </c>
      <c r="B67" s="0" t="s">
        <v>30</v>
      </c>
      <c r="C67" s="0" t="s">
        <v>158</v>
      </c>
      <c r="D67" s="0" t="s">
        <v>1398</v>
      </c>
      <c r="E67" s="0" t="s">
        <v>976</v>
      </c>
      <c r="F67" s="0" t="b">
        <v>0</v>
      </c>
      <c r="G67" s="0" t="s">
        <v>114</v>
      </c>
      <c r="H67" s="0">
        <v>12</v>
      </c>
      <c r="I67" s="0">
        <v>39</v>
      </c>
      <c r="J67" s="0">
        <v>1208</v>
      </c>
      <c r="K67" s="1">
        <f>=HYPERLINK("10.175.1.14\MWEB.12\SEP\EntityDetails.10.175.1.14.MWEB.12.-logon.jsp.1208.xlsx", "&lt;Detail&gt;")</f>
      </c>
      <c r="L67" s="1">
        <f>=HYPERLINK("10.175.1.14\MWEB.12\SEP\MetricGraphs.SEP.10.175.1.14.MWEB.12.xlsx", "&lt;Metrics&gt;")</f>
      </c>
      <c r="M67" s="0" t="s">
        <v>101</v>
      </c>
      <c r="N67" s="0" t="s">
        <v>145</v>
      </c>
      <c r="O67" s="0" t="s">
        <v>159</v>
      </c>
      <c r="P67" s="0" t="s">
        <v>1432</v>
      </c>
    </row>
    <row r="68">
      <c r="A68" s="0" t="s">
        <v>28</v>
      </c>
      <c r="B68" s="0" t="s">
        <v>30</v>
      </c>
      <c r="C68" s="0" t="s">
        <v>158</v>
      </c>
      <c r="D68" s="0" t="s">
        <v>1026</v>
      </c>
      <c r="E68" s="0" t="s">
        <v>976</v>
      </c>
      <c r="F68" s="0" t="b">
        <v>0</v>
      </c>
      <c r="G68" s="0" t="s">
        <v>114</v>
      </c>
      <c r="H68" s="0">
        <v>12</v>
      </c>
      <c r="I68" s="0">
        <v>39</v>
      </c>
      <c r="J68" s="0">
        <v>102</v>
      </c>
      <c r="K68" s="1">
        <f>=HYPERLINK("10.175.1.14\MWEB.12\SEP\EntityDetails.10.175.1.14.MWEB.12.-management-.102.xlsx", "&lt;Detail&gt;")</f>
      </c>
      <c r="L68" s="1">
        <f>=HYPERLINK("10.175.1.14\MWEB.12\SEP\MetricGraphs.SEP.10.175.1.14.MWEB.12.xlsx", "&lt;Metrics&gt;")</f>
      </c>
      <c r="M68" s="0" t="s">
        <v>101</v>
      </c>
      <c r="N68" s="0" t="s">
        <v>145</v>
      </c>
      <c r="O68" s="0" t="s">
        <v>159</v>
      </c>
      <c r="P68" s="0" t="s">
        <v>1433</v>
      </c>
    </row>
    <row r="69">
      <c r="A69" s="0" t="s">
        <v>28</v>
      </c>
      <c r="B69" s="0" t="s">
        <v>30</v>
      </c>
      <c r="C69" s="0" t="s">
        <v>158</v>
      </c>
      <c r="D69" s="0" t="s">
        <v>1434</v>
      </c>
      <c r="E69" s="0" t="s">
        <v>976</v>
      </c>
      <c r="F69" s="0" t="b">
        <v>0</v>
      </c>
      <c r="G69" s="0" t="s">
        <v>114</v>
      </c>
      <c r="H69" s="0">
        <v>12</v>
      </c>
      <c r="I69" s="0">
        <v>39</v>
      </c>
      <c r="J69" s="0">
        <v>477</v>
      </c>
      <c r="K69" s="1">
        <f>=HYPERLINK("10.175.1.14\MWEB.12\SEP\EntityDetails.10.175.1.14.MWEB.12.-modules-inq.477.xlsx", "&lt;Detail&gt;")</f>
      </c>
      <c r="L69" s="1">
        <f>=HYPERLINK("10.175.1.14\MWEB.12\SEP\MetricGraphs.SEP.10.175.1.14.MWEB.12.xlsx", "&lt;Metrics&gt;")</f>
      </c>
      <c r="M69" s="0" t="s">
        <v>101</v>
      </c>
      <c r="N69" s="0" t="s">
        <v>145</v>
      </c>
      <c r="O69" s="0" t="s">
        <v>159</v>
      </c>
      <c r="P69" s="0" t="s">
        <v>1435</v>
      </c>
    </row>
    <row r="70">
      <c r="A70" s="0" t="s">
        <v>28</v>
      </c>
      <c r="B70" s="0" t="s">
        <v>30</v>
      </c>
      <c r="C70" s="0" t="s">
        <v>158</v>
      </c>
      <c r="D70" s="0" t="s">
        <v>1037</v>
      </c>
      <c r="E70" s="0" t="s">
        <v>976</v>
      </c>
      <c r="F70" s="0" t="b">
        <v>0</v>
      </c>
      <c r="G70" s="0" t="s">
        <v>114</v>
      </c>
      <c r="H70" s="0">
        <v>12</v>
      </c>
      <c r="I70" s="0">
        <v>39</v>
      </c>
      <c r="J70" s="0">
        <v>298</v>
      </c>
      <c r="K70" s="1">
        <f>=HYPERLINK("10.175.1.14\MWEB.12\SEP\EntityDetails.10.175.1.14.MWEB.12.-net-nyukai.298.xlsx", "&lt;Detail&gt;")</f>
      </c>
      <c r="L70" s="1">
        <f>=HYPERLINK("10.175.1.14\MWEB.12\SEP\MetricGraphs.SEP.10.175.1.14.MWEB.12.xlsx", "&lt;Metrics&gt;")</f>
      </c>
      <c r="M70" s="0" t="s">
        <v>101</v>
      </c>
      <c r="N70" s="0" t="s">
        <v>145</v>
      </c>
      <c r="O70" s="0" t="s">
        <v>159</v>
      </c>
      <c r="P70" s="0" t="s">
        <v>1436</v>
      </c>
    </row>
    <row r="71">
      <c r="A71" s="0" t="s">
        <v>28</v>
      </c>
      <c r="B71" s="0" t="s">
        <v>30</v>
      </c>
      <c r="C71" s="0" t="s">
        <v>158</v>
      </c>
      <c r="D71" s="0" t="s">
        <v>1437</v>
      </c>
      <c r="E71" s="0" t="s">
        <v>976</v>
      </c>
      <c r="F71" s="0" t="b">
        <v>0</v>
      </c>
      <c r="G71" s="0" t="s">
        <v>114</v>
      </c>
      <c r="H71" s="0">
        <v>12</v>
      </c>
      <c r="I71" s="0">
        <v>39</v>
      </c>
      <c r="J71" s="0">
        <v>1210</v>
      </c>
      <c r="K71" s="1">
        <f>=HYPERLINK("10.175.1.14\MWEB.12\SEP\EntityDetails.10.175.1.14.MWEB.12.-niet5738484.1210.xlsx", "&lt;Detail&gt;")</f>
      </c>
      <c r="L71" s="1">
        <f>=HYPERLINK("10.175.1.14\MWEB.12\SEP\MetricGraphs.SEP.10.175.1.14.MWEB.12.xlsx", "&lt;Metrics&gt;")</f>
      </c>
      <c r="M71" s="0" t="s">
        <v>101</v>
      </c>
      <c r="N71" s="0" t="s">
        <v>145</v>
      </c>
      <c r="O71" s="0" t="s">
        <v>159</v>
      </c>
      <c r="P71" s="0" t="s">
        <v>1438</v>
      </c>
    </row>
    <row r="72">
      <c r="A72" s="0" t="s">
        <v>28</v>
      </c>
      <c r="B72" s="0" t="s">
        <v>30</v>
      </c>
      <c r="C72" s="0" t="s">
        <v>158</v>
      </c>
      <c r="D72" s="0" t="s">
        <v>1439</v>
      </c>
      <c r="E72" s="0" t="s">
        <v>976</v>
      </c>
      <c r="F72" s="0" t="b">
        <v>0</v>
      </c>
      <c r="G72" s="0" t="s">
        <v>114</v>
      </c>
      <c r="H72" s="0">
        <v>12</v>
      </c>
      <c r="I72" s="0">
        <v>39</v>
      </c>
      <c r="J72" s="0">
        <v>1212</v>
      </c>
      <c r="K72" s="1">
        <f>=HYPERLINK("10.175.1.14\MWEB.12\SEP\EntityDetails.10.175.1.14.MWEB.12.-niet9360349.1212.xlsx", "&lt;Detail&gt;")</f>
      </c>
      <c r="L72" s="1">
        <f>=HYPERLINK("10.175.1.14\MWEB.12\SEP\MetricGraphs.SEP.10.175.1.14.MWEB.12.xlsx", "&lt;Metrics&gt;")</f>
      </c>
      <c r="M72" s="0" t="s">
        <v>101</v>
      </c>
      <c r="N72" s="0" t="s">
        <v>145</v>
      </c>
      <c r="O72" s="0" t="s">
        <v>159</v>
      </c>
      <c r="P72" s="0" t="s">
        <v>1440</v>
      </c>
    </row>
    <row r="73">
      <c r="A73" s="0" t="s">
        <v>28</v>
      </c>
      <c r="B73" s="0" t="s">
        <v>30</v>
      </c>
      <c r="C73" s="0" t="s">
        <v>158</v>
      </c>
      <c r="D73" s="0" t="s">
        <v>1039</v>
      </c>
      <c r="E73" s="0" t="s">
        <v>976</v>
      </c>
      <c r="F73" s="0" t="b">
        <v>0</v>
      </c>
      <c r="G73" s="0" t="s">
        <v>114</v>
      </c>
      <c r="H73" s="0">
        <v>12</v>
      </c>
      <c r="I73" s="0">
        <v>39</v>
      </c>
      <c r="J73" s="0">
        <v>122</v>
      </c>
      <c r="K73" s="1">
        <f>=HYPERLINK("10.175.1.14\MWEB.12\SEP\EntityDetails.10.175.1.14.MWEB.12.-online-addr.122.xlsx", "&lt;Detail&gt;")</f>
      </c>
      <c r="L73" s="1">
        <f>=HYPERLINK("10.175.1.14\MWEB.12\SEP\MetricGraphs.SEP.10.175.1.14.MWEB.12.xlsx", "&lt;Metrics&gt;")</f>
      </c>
      <c r="M73" s="0" t="s">
        <v>101</v>
      </c>
      <c r="N73" s="0" t="s">
        <v>145</v>
      </c>
      <c r="O73" s="0" t="s">
        <v>159</v>
      </c>
      <c r="P73" s="0" t="s">
        <v>1441</v>
      </c>
    </row>
    <row r="74">
      <c r="A74" s="0" t="s">
        <v>28</v>
      </c>
      <c r="B74" s="0" t="s">
        <v>30</v>
      </c>
      <c r="C74" s="0" t="s">
        <v>158</v>
      </c>
      <c r="D74" s="0" t="s">
        <v>1041</v>
      </c>
      <c r="E74" s="0" t="s">
        <v>976</v>
      </c>
      <c r="F74" s="0" t="b">
        <v>0</v>
      </c>
      <c r="G74" s="0" t="s">
        <v>114</v>
      </c>
      <c r="H74" s="0">
        <v>12</v>
      </c>
      <c r="I74" s="0">
        <v>39</v>
      </c>
      <c r="J74" s="0">
        <v>134</v>
      </c>
      <c r="K74" s="1">
        <f>=HYPERLINK("10.175.1.14\MWEB.12\SEP\EntityDetails.10.175.1.14.MWEB.12.-online-bank.134.xlsx", "&lt;Detail&gt;")</f>
      </c>
      <c r="L74" s="1">
        <f>=HYPERLINK("10.175.1.14\MWEB.12\SEP\MetricGraphs.SEP.10.175.1.14.MWEB.12.xlsx", "&lt;Metrics&gt;")</f>
      </c>
      <c r="M74" s="0" t="s">
        <v>101</v>
      </c>
      <c r="N74" s="0" t="s">
        <v>145</v>
      </c>
      <c r="O74" s="0" t="s">
        <v>159</v>
      </c>
      <c r="P74" s="0" t="s">
        <v>1442</v>
      </c>
    </row>
    <row r="75">
      <c r="A75" s="0" t="s">
        <v>28</v>
      </c>
      <c r="B75" s="0" t="s">
        <v>30</v>
      </c>
      <c r="C75" s="0" t="s">
        <v>158</v>
      </c>
      <c r="D75" s="0" t="s">
        <v>1043</v>
      </c>
      <c r="E75" s="0" t="s">
        <v>976</v>
      </c>
      <c r="F75" s="0" t="b">
        <v>0</v>
      </c>
      <c r="G75" s="0" t="s">
        <v>114</v>
      </c>
      <c r="H75" s="0">
        <v>12</v>
      </c>
      <c r="I75" s="0">
        <v>39</v>
      </c>
      <c r="J75" s="0">
        <v>133</v>
      </c>
      <c r="K75" s="1">
        <f>=HYPERLINK("10.175.1.14\MWEB.12\SEP\EntityDetails.10.175.1.14.MWEB.12.-online-bank.133.xlsx", "&lt;Detail&gt;")</f>
      </c>
      <c r="L75" s="1">
        <f>=HYPERLINK("10.175.1.14\MWEB.12\SEP\MetricGraphs.SEP.10.175.1.14.MWEB.12.xlsx", "&lt;Metrics&gt;")</f>
      </c>
      <c r="M75" s="0" t="s">
        <v>101</v>
      </c>
      <c r="N75" s="0" t="s">
        <v>145</v>
      </c>
      <c r="O75" s="0" t="s">
        <v>159</v>
      </c>
      <c r="P75" s="0" t="s">
        <v>1443</v>
      </c>
    </row>
    <row r="76">
      <c r="A76" s="0" t="s">
        <v>28</v>
      </c>
      <c r="B76" s="0" t="s">
        <v>30</v>
      </c>
      <c r="C76" s="0" t="s">
        <v>158</v>
      </c>
      <c r="D76" s="0" t="s">
        <v>1045</v>
      </c>
      <c r="E76" s="0" t="s">
        <v>976</v>
      </c>
      <c r="F76" s="0" t="b">
        <v>0</v>
      </c>
      <c r="G76" s="0" t="s">
        <v>114</v>
      </c>
      <c r="H76" s="0">
        <v>12</v>
      </c>
      <c r="I76" s="0">
        <v>39</v>
      </c>
      <c r="J76" s="0">
        <v>152</v>
      </c>
      <c r="K76" s="1">
        <f>=HYPERLINK("10.175.1.14\MWEB.12\SEP\EntityDetails.10.175.1.14.MWEB.12.-online-bank.152.xlsx", "&lt;Detail&gt;")</f>
      </c>
      <c r="L76" s="1">
        <f>=HYPERLINK("10.175.1.14\MWEB.12\SEP\MetricGraphs.SEP.10.175.1.14.MWEB.12.xlsx", "&lt;Metrics&gt;")</f>
      </c>
      <c r="M76" s="0" t="s">
        <v>101</v>
      </c>
      <c r="N76" s="0" t="s">
        <v>145</v>
      </c>
      <c r="O76" s="0" t="s">
        <v>159</v>
      </c>
      <c r="P76" s="0" t="s">
        <v>1444</v>
      </c>
    </row>
    <row r="77">
      <c r="A77" s="0" t="s">
        <v>28</v>
      </c>
      <c r="B77" s="0" t="s">
        <v>30</v>
      </c>
      <c r="C77" s="0" t="s">
        <v>158</v>
      </c>
      <c r="D77" s="0" t="s">
        <v>1047</v>
      </c>
      <c r="E77" s="0" t="s">
        <v>976</v>
      </c>
      <c r="F77" s="0" t="b">
        <v>0</v>
      </c>
      <c r="G77" s="0" t="s">
        <v>114</v>
      </c>
      <c r="H77" s="0">
        <v>12</v>
      </c>
      <c r="I77" s="0">
        <v>39</v>
      </c>
      <c r="J77" s="0">
        <v>145</v>
      </c>
      <c r="K77" s="1">
        <f>=HYPERLINK("10.175.1.14\MWEB.12\SEP\EntityDetails.10.175.1.14.MWEB.12.-online-bank.145.xlsx", "&lt;Detail&gt;")</f>
      </c>
      <c r="L77" s="1">
        <f>=HYPERLINK("10.175.1.14\MWEB.12\SEP\MetricGraphs.SEP.10.175.1.14.MWEB.12.xlsx", "&lt;Metrics&gt;")</f>
      </c>
      <c r="M77" s="0" t="s">
        <v>101</v>
      </c>
      <c r="N77" s="0" t="s">
        <v>145</v>
      </c>
      <c r="O77" s="0" t="s">
        <v>159</v>
      </c>
      <c r="P77" s="0" t="s">
        <v>1445</v>
      </c>
    </row>
    <row r="78">
      <c r="A78" s="0" t="s">
        <v>28</v>
      </c>
      <c r="B78" s="0" t="s">
        <v>30</v>
      </c>
      <c r="C78" s="0" t="s">
        <v>158</v>
      </c>
      <c r="D78" s="0" t="s">
        <v>1446</v>
      </c>
      <c r="E78" s="0" t="s">
        <v>976</v>
      </c>
      <c r="F78" s="0" t="b">
        <v>0</v>
      </c>
      <c r="G78" s="0" t="s">
        <v>114</v>
      </c>
      <c r="H78" s="0">
        <v>12</v>
      </c>
      <c r="I78" s="0">
        <v>39</v>
      </c>
      <c r="J78" s="0">
        <v>144</v>
      </c>
      <c r="K78" s="1">
        <f>=HYPERLINK("10.175.1.14\MWEB.12\SEP\EntityDetails.10.175.1.14.MWEB.12.-online-bank.144.xlsx", "&lt;Detail&gt;")</f>
      </c>
      <c r="L78" s="1">
        <f>=HYPERLINK("10.175.1.14\MWEB.12\SEP\MetricGraphs.SEP.10.175.1.14.MWEB.12.xlsx", "&lt;Metrics&gt;")</f>
      </c>
      <c r="M78" s="0" t="s">
        <v>101</v>
      </c>
      <c r="N78" s="0" t="s">
        <v>145</v>
      </c>
      <c r="O78" s="0" t="s">
        <v>159</v>
      </c>
      <c r="P78" s="0" t="s">
        <v>1447</v>
      </c>
    </row>
    <row r="79">
      <c r="A79" s="0" t="s">
        <v>28</v>
      </c>
      <c r="B79" s="0" t="s">
        <v>30</v>
      </c>
      <c r="C79" s="0" t="s">
        <v>158</v>
      </c>
      <c r="D79" s="0" t="s">
        <v>1049</v>
      </c>
      <c r="E79" s="0" t="s">
        <v>976</v>
      </c>
      <c r="F79" s="0" t="b">
        <v>0</v>
      </c>
      <c r="G79" s="0" t="s">
        <v>114</v>
      </c>
      <c r="H79" s="0">
        <v>12</v>
      </c>
      <c r="I79" s="0">
        <v>39</v>
      </c>
      <c r="J79" s="0">
        <v>130</v>
      </c>
      <c r="K79" s="1">
        <f>=HYPERLINK("10.175.1.14\MWEB.12\SEP\EntityDetails.10.175.1.14.MWEB.12.-online-bran.130.xlsx", "&lt;Detail&gt;")</f>
      </c>
      <c r="L79" s="1">
        <f>=HYPERLINK("10.175.1.14\MWEB.12\SEP\MetricGraphs.SEP.10.175.1.14.MWEB.12.xlsx", "&lt;Metrics&gt;")</f>
      </c>
      <c r="M79" s="0" t="s">
        <v>101</v>
      </c>
      <c r="N79" s="0" t="s">
        <v>145</v>
      </c>
      <c r="O79" s="0" t="s">
        <v>159</v>
      </c>
      <c r="P79" s="0" t="s">
        <v>1448</v>
      </c>
    </row>
    <row r="80">
      <c r="A80" s="0" t="s">
        <v>28</v>
      </c>
      <c r="B80" s="0" t="s">
        <v>30</v>
      </c>
      <c r="C80" s="0" t="s">
        <v>158</v>
      </c>
      <c r="D80" s="0" t="s">
        <v>1449</v>
      </c>
      <c r="E80" s="0" t="s">
        <v>976</v>
      </c>
      <c r="F80" s="0" t="b">
        <v>0</v>
      </c>
      <c r="G80" s="0" t="s">
        <v>114</v>
      </c>
      <c r="H80" s="0">
        <v>12</v>
      </c>
      <c r="I80" s="0">
        <v>39</v>
      </c>
      <c r="J80" s="0">
        <v>1947</v>
      </c>
      <c r="K80" s="1">
        <f>=HYPERLINK("10.175.1.14\MWEB.12\SEP\EntityDetails.10.175.1.14.MWEB.12.-online-cont.1947.xlsx", "&lt;Detail&gt;")</f>
      </c>
      <c r="L80" s="1">
        <f>=HYPERLINK("10.175.1.14\MWEB.12\SEP\MetricGraphs.SEP.10.175.1.14.MWEB.12.xlsx", "&lt;Metrics&gt;")</f>
      </c>
      <c r="M80" s="0" t="s">
        <v>101</v>
      </c>
      <c r="N80" s="0" t="s">
        <v>145</v>
      </c>
      <c r="O80" s="0" t="s">
        <v>159</v>
      </c>
      <c r="P80" s="0" t="s">
        <v>1450</v>
      </c>
    </row>
    <row r="81">
      <c r="A81" s="0" t="s">
        <v>28</v>
      </c>
      <c r="B81" s="0" t="s">
        <v>30</v>
      </c>
      <c r="C81" s="0" t="s">
        <v>158</v>
      </c>
      <c r="D81" s="0" t="s">
        <v>1051</v>
      </c>
      <c r="E81" s="0" t="s">
        <v>976</v>
      </c>
      <c r="F81" s="0" t="b">
        <v>0</v>
      </c>
      <c r="G81" s="0" t="s">
        <v>114</v>
      </c>
      <c r="H81" s="0">
        <v>12</v>
      </c>
      <c r="I81" s="0">
        <v>39</v>
      </c>
      <c r="J81" s="0">
        <v>111</v>
      </c>
      <c r="K81" s="1">
        <f>=HYPERLINK("10.175.1.14\MWEB.12\SEP\EntityDetails.10.175.1.14.MWEB.12.-online-entr.111.xlsx", "&lt;Detail&gt;")</f>
      </c>
      <c r="L81" s="1">
        <f>=HYPERLINK("10.175.1.14\MWEB.12\SEP\MetricGraphs.SEP.10.175.1.14.MWEB.12.xlsx", "&lt;Metrics&gt;")</f>
      </c>
      <c r="M81" s="0" t="s">
        <v>101</v>
      </c>
      <c r="N81" s="0" t="s">
        <v>145</v>
      </c>
      <c r="O81" s="0" t="s">
        <v>159</v>
      </c>
      <c r="P81" s="0" t="s">
        <v>1451</v>
      </c>
    </row>
    <row r="82">
      <c r="A82" s="0" t="s">
        <v>28</v>
      </c>
      <c r="B82" s="0" t="s">
        <v>30</v>
      </c>
      <c r="C82" s="0" t="s">
        <v>158</v>
      </c>
      <c r="D82" s="0" t="s">
        <v>1053</v>
      </c>
      <c r="E82" s="0" t="s">
        <v>976</v>
      </c>
      <c r="F82" s="0" t="b">
        <v>0</v>
      </c>
      <c r="G82" s="0" t="s">
        <v>114</v>
      </c>
      <c r="H82" s="0">
        <v>12</v>
      </c>
      <c r="I82" s="0">
        <v>39</v>
      </c>
      <c r="J82" s="0">
        <v>121</v>
      </c>
      <c r="K82" s="1">
        <f>=HYPERLINK("10.175.1.14\MWEB.12\SEP\EntityDetails.10.175.1.14.MWEB.12.-online-erro.121.xlsx", "&lt;Detail&gt;")</f>
      </c>
      <c r="L82" s="1">
        <f>=HYPERLINK("10.175.1.14\MWEB.12\SEP\MetricGraphs.SEP.10.175.1.14.MWEB.12.xlsx", "&lt;Metrics&gt;")</f>
      </c>
      <c r="M82" s="0" t="s">
        <v>101</v>
      </c>
      <c r="N82" s="0" t="s">
        <v>145</v>
      </c>
      <c r="O82" s="0" t="s">
        <v>159</v>
      </c>
      <c r="P82" s="0" t="s">
        <v>1452</v>
      </c>
    </row>
    <row r="83">
      <c r="A83" s="0" t="s">
        <v>28</v>
      </c>
      <c r="B83" s="0" t="s">
        <v>30</v>
      </c>
      <c r="C83" s="0" t="s">
        <v>158</v>
      </c>
      <c r="D83" s="0" t="s">
        <v>1055</v>
      </c>
      <c r="E83" s="0" t="s">
        <v>976</v>
      </c>
      <c r="F83" s="0" t="b">
        <v>0</v>
      </c>
      <c r="G83" s="0" t="s">
        <v>114</v>
      </c>
      <c r="H83" s="0">
        <v>12</v>
      </c>
      <c r="I83" s="0">
        <v>39</v>
      </c>
      <c r="J83" s="0">
        <v>92</v>
      </c>
      <c r="K83" s="1">
        <f>=HYPERLINK("10.175.1.14\MWEB.12\SEP\EntityDetails.10.175.1.14.MWEB.12.-online-inqu.92.xlsx", "&lt;Detail&gt;")</f>
      </c>
      <c r="L83" s="1">
        <f>=HYPERLINK("10.175.1.14\MWEB.12\SEP\MetricGraphs.SEP.10.175.1.14.MWEB.12.xlsx", "&lt;Metrics&gt;")</f>
      </c>
      <c r="M83" s="0" t="s">
        <v>101</v>
      </c>
      <c r="N83" s="0" t="s">
        <v>145</v>
      </c>
      <c r="O83" s="0" t="s">
        <v>159</v>
      </c>
      <c r="P83" s="0" t="s">
        <v>1453</v>
      </c>
    </row>
    <row r="84">
      <c r="A84" s="0" t="s">
        <v>28</v>
      </c>
      <c r="B84" s="0" t="s">
        <v>30</v>
      </c>
      <c r="C84" s="0" t="s">
        <v>158</v>
      </c>
      <c r="D84" s="0" t="s">
        <v>1454</v>
      </c>
      <c r="E84" s="0" t="s">
        <v>976</v>
      </c>
      <c r="F84" s="0" t="b">
        <v>0</v>
      </c>
      <c r="G84" s="0" t="s">
        <v>114</v>
      </c>
      <c r="H84" s="0">
        <v>12</v>
      </c>
      <c r="I84" s="0">
        <v>39</v>
      </c>
      <c r="J84" s="0">
        <v>1948</v>
      </c>
      <c r="K84" s="1">
        <f>=HYPERLINK("10.175.1.14\MWEB.12\SEP\EntityDetails.10.175.1.14.MWEB.12.-online-seam.1948.xlsx", "&lt;Detail&gt;")</f>
      </c>
      <c r="L84" s="1">
        <f>=HYPERLINK("10.175.1.14\MWEB.12\SEP\MetricGraphs.SEP.10.175.1.14.MWEB.12.xlsx", "&lt;Metrics&gt;")</f>
      </c>
      <c r="M84" s="0" t="s">
        <v>101</v>
      </c>
      <c r="N84" s="0" t="s">
        <v>145</v>
      </c>
      <c r="O84" s="0" t="s">
        <v>159</v>
      </c>
      <c r="P84" s="0" t="s">
        <v>1455</v>
      </c>
    </row>
    <row r="85">
      <c r="A85" s="0" t="s">
        <v>28</v>
      </c>
      <c r="B85" s="0" t="s">
        <v>30</v>
      </c>
      <c r="C85" s="0" t="s">
        <v>158</v>
      </c>
      <c r="D85" s="0" t="s">
        <v>1057</v>
      </c>
      <c r="E85" s="0" t="s">
        <v>976</v>
      </c>
      <c r="F85" s="0" t="b">
        <v>0</v>
      </c>
      <c r="G85" s="0" t="s">
        <v>114</v>
      </c>
      <c r="H85" s="0">
        <v>12</v>
      </c>
      <c r="I85" s="0">
        <v>39</v>
      </c>
      <c r="J85" s="0">
        <v>221</v>
      </c>
      <c r="K85" s="1">
        <f>=HYPERLINK("10.175.1.14\MWEB.12\SEP\EntityDetails.10.175.1.14.MWEB.12.-online-test.221.xlsx", "&lt;Detail&gt;")</f>
      </c>
      <c r="L85" s="1">
        <f>=HYPERLINK("10.175.1.14\MWEB.12\SEP\MetricGraphs.SEP.10.175.1.14.MWEB.12.xlsx", "&lt;Metrics&gt;")</f>
      </c>
      <c r="M85" s="0" t="s">
        <v>101</v>
      </c>
      <c r="N85" s="0" t="s">
        <v>145</v>
      </c>
      <c r="O85" s="0" t="s">
        <v>159</v>
      </c>
      <c r="P85" s="0" t="s">
        <v>1456</v>
      </c>
    </row>
    <row r="86">
      <c r="A86" s="0" t="s">
        <v>28</v>
      </c>
      <c r="B86" s="0" t="s">
        <v>30</v>
      </c>
      <c r="C86" s="0" t="s">
        <v>158</v>
      </c>
      <c r="D86" s="0" t="s">
        <v>1457</v>
      </c>
      <c r="E86" s="0" t="s">
        <v>976</v>
      </c>
      <c r="F86" s="0" t="b">
        <v>0</v>
      </c>
      <c r="G86" s="0" t="s">
        <v>114</v>
      </c>
      <c r="H86" s="0">
        <v>12</v>
      </c>
      <c r="I86" s="0">
        <v>39</v>
      </c>
      <c r="J86" s="0">
        <v>93</v>
      </c>
      <c r="K86" s="1">
        <f>=HYPERLINK("10.175.1.14\MWEB.12\SEP\EntityDetails.10.175.1.14.MWEB.12.-online-WEB-.93.xlsx", "&lt;Detail&gt;")</f>
      </c>
      <c r="L86" s="1">
        <f>=HYPERLINK("10.175.1.14\MWEB.12\SEP\MetricGraphs.SEP.10.175.1.14.MWEB.12.xlsx", "&lt;Metrics&gt;")</f>
      </c>
      <c r="M86" s="0" t="s">
        <v>101</v>
      </c>
      <c r="N86" s="0" t="s">
        <v>145</v>
      </c>
      <c r="O86" s="0" t="s">
        <v>159</v>
      </c>
      <c r="P86" s="0" t="s">
        <v>1458</v>
      </c>
    </row>
    <row r="87">
      <c r="A87" s="0" t="s">
        <v>28</v>
      </c>
      <c r="B87" s="0" t="s">
        <v>30</v>
      </c>
      <c r="C87" s="0" t="s">
        <v>158</v>
      </c>
      <c r="D87" s="0" t="s">
        <v>1406</v>
      </c>
      <c r="E87" s="0" t="s">
        <v>976</v>
      </c>
      <c r="F87" s="0" t="b">
        <v>0</v>
      </c>
      <c r="G87" s="0" t="s">
        <v>114</v>
      </c>
      <c r="H87" s="0">
        <v>12</v>
      </c>
      <c r="I87" s="0">
        <v>39</v>
      </c>
      <c r="J87" s="0">
        <v>1204</v>
      </c>
      <c r="K87" s="1">
        <f>=HYPERLINK("10.175.1.14\MWEB.12\SEP\EntityDetails.10.175.1.14.MWEB.12.-reporter-cl.1204.xlsx", "&lt;Detail&gt;")</f>
      </c>
      <c r="L87" s="1">
        <f>=HYPERLINK("10.175.1.14\MWEB.12\SEP\MetricGraphs.SEP.10.175.1.14.MWEB.12.xlsx", "&lt;Metrics&gt;")</f>
      </c>
      <c r="M87" s="0" t="s">
        <v>101</v>
      </c>
      <c r="N87" s="0" t="s">
        <v>145</v>
      </c>
      <c r="O87" s="0" t="s">
        <v>159</v>
      </c>
      <c r="P87" s="0" t="s">
        <v>1459</v>
      </c>
    </row>
    <row r="88">
      <c r="A88" s="0" t="s">
        <v>28</v>
      </c>
      <c r="B88" s="0" t="s">
        <v>30</v>
      </c>
      <c r="C88" s="0" t="s">
        <v>158</v>
      </c>
      <c r="D88" s="0" t="s">
        <v>1460</v>
      </c>
      <c r="E88" s="0" t="s">
        <v>976</v>
      </c>
      <c r="F88" s="0" t="b">
        <v>0</v>
      </c>
      <c r="G88" s="0" t="s">
        <v>114</v>
      </c>
      <c r="H88" s="0">
        <v>12</v>
      </c>
      <c r="I88" s="0">
        <v>39</v>
      </c>
      <c r="J88" s="0">
        <v>1215</v>
      </c>
      <c r="K88" s="1">
        <f>=HYPERLINK("10.175.1.14\MWEB.12\SEP\EntityDetails.10.175.1.14.MWEB.12.-sgdadmin-fa.1215.xlsx", "&lt;Detail&gt;")</f>
      </c>
      <c r="L88" s="1">
        <f>=HYPERLINK("10.175.1.14\MWEB.12\SEP\MetricGraphs.SEP.10.175.1.14.MWEB.12.xlsx", "&lt;Metrics&gt;")</f>
      </c>
      <c r="M88" s="0" t="s">
        <v>101</v>
      </c>
      <c r="N88" s="0" t="s">
        <v>145</v>
      </c>
      <c r="O88" s="0" t="s">
        <v>159</v>
      </c>
      <c r="P88" s="0" t="s">
        <v>1461</v>
      </c>
    </row>
    <row r="89">
      <c r="A89" s="0" t="s">
        <v>28</v>
      </c>
      <c r="B89" s="0" t="s">
        <v>30</v>
      </c>
      <c r="C89" s="0" t="s">
        <v>158</v>
      </c>
      <c r="D89" s="0" t="s">
        <v>1462</v>
      </c>
      <c r="E89" s="0" t="s">
        <v>976</v>
      </c>
      <c r="F89" s="0" t="b">
        <v>0</v>
      </c>
      <c r="G89" s="0" t="s">
        <v>114</v>
      </c>
      <c r="H89" s="0">
        <v>12</v>
      </c>
      <c r="I89" s="0">
        <v>39</v>
      </c>
      <c r="J89" s="0">
        <v>1214</v>
      </c>
      <c r="K89" s="1">
        <f>=HYPERLINK("10.175.1.14\MWEB.12\SEP\EntityDetails.10.175.1.14.MWEB.12.-spotfire-ab.1214.xlsx", "&lt;Detail&gt;")</f>
      </c>
      <c r="L89" s="1">
        <f>=HYPERLINK("10.175.1.14\MWEB.12\SEP\MetricGraphs.SEP.10.175.1.14.MWEB.12.xlsx", "&lt;Metrics&gt;")</f>
      </c>
      <c r="M89" s="0" t="s">
        <v>101</v>
      </c>
      <c r="N89" s="0" t="s">
        <v>145</v>
      </c>
      <c r="O89" s="0" t="s">
        <v>159</v>
      </c>
      <c r="P89" s="0" t="s">
        <v>1463</v>
      </c>
    </row>
    <row r="90">
      <c r="A90" s="0" t="s">
        <v>28</v>
      </c>
      <c r="B90" s="0" t="s">
        <v>30</v>
      </c>
      <c r="C90" s="0" t="s">
        <v>158</v>
      </c>
      <c r="D90" s="0" t="s">
        <v>1408</v>
      </c>
      <c r="E90" s="0" t="s">
        <v>976</v>
      </c>
      <c r="F90" s="0" t="b">
        <v>0</v>
      </c>
      <c r="G90" s="0" t="s">
        <v>114</v>
      </c>
      <c r="H90" s="0">
        <v>12</v>
      </c>
      <c r="I90" s="0">
        <v>39</v>
      </c>
      <c r="J90" s="0">
        <v>1200</v>
      </c>
      <c r="K90" s="1">
        <f>=HYPERLINK("10.175.1.14\MWEB.12\SEP\EntityDetails.10.175.1.14.MWEB.12.-userportal-.1200.xlsx", "&lt;Detail&gt;")</f>
      </c>
      <c r="L90" s="1">
        <f>=HYPERLINK("10.175.1.14\MWEB.12\SEP\MetricGraphs.SEP.10.175.1.14.MWEB.12.xlsx", "&lt;Metrics&gt;")</f>
      </c>
      <c r="M90" s="0" t="s">
        <v>101</v>
      </c>
      <c r="N90" s="0" t="s">
        <v>145</v>
      </c>
      <c r="O90" s="0" t="s">
        <v>159</v>
      </c>
      <c r="P90" s="0" t="s">
        <v>1464</v>
      </c>
    </row>
    <row r="91">
      <c r="A91" s="0" t="s">
        <v>28</v>
      </c>
      <c r="B91" s="0" t="s">
        <v>30</v>
      </c>
      <c r="C91" s="0" t="s">
        <v>158</v>
      </c>
      <c r="D91" s="0" t="s">
        <v>1465</v>
      </c>
      <c r="E91" s="0" t="s">
        <v>976</v>
      </c>
      <c r="F91" s="0" t="b">
        <v>0</v>
      </c>
      <c r="G91" s="0" t="s">
        <v>114</v>
      </c>
      <c r="H91" s="0">
        <v>12</v>
      </c>
      <c r="I91" s="0">
        <v>39</v>
      </c>
      <c r="J91" s="0">
        <v>1203</v>
      </c>
      <c r="K91" s="1">
        <f>=HYPERLINK("10.175.1.14\MWEB.12\SEP\EntityDetails.10.175.1.14.MWEB.12.-vr4l7s8f.js.1203.xlsx", "&lt;Detail&gt;")</f>
      </c>
      <c r="L91" s="1">
        <f>=HYPERLINK("10.175.1.14\MWEB.12\SEP\MetricGraphs.SEP.10.175.1.14.MWEB.12.xlsx", "&lt;Metrics&gt;")</f>
      </c>
      <c r="M91" s="0" t="s">
        <v>101</v>
      </c>
      <c r="N91" s="0" t="s">
        <v>145</v>
      </c>
      <c r="O91" s="0" t="s">
        <v>159</v>
      </c>
      <c r="P91" s="0" t="s">
        <v>1466</v>
      </c>
    </row>
    <row r="92">
      <c r="A92" s="0" t="s">
        <v>28</v>
      </c>
      <c r="B92" s="0" t="s">
        <v>30</v>
      </c>
      <c r="C92" s="0" t="s">
        <v>158</v>
      </c>
      <c r="D92" s="0" t="s">
        <v>1410</v>
      </c>
      <c r="E92" s="0" t="s">
        <v>976</v>
      </c>
      <c r="F92" s="0" t="b">
        <v>0</v>
      </c>
      <c r="G92" s="0" t="s">
        <v>114</v>
      </c>
      <c r="H92" s="0">
        <v>12</v>
      </c>
      <c r="I92" s="0">
        <v>39</v>
      </c>
      <c r="J92" s="0">
        <v>1202</v>
      </c>
      <c r="K92" s="1">
        <f>=HYPERLINK("10.175.1.14\MWEB.12\SEP\EntityDetails.10.175.1.14.MWEB.12.-webconsole-.1202.xlsx", "&lt;Detail&gt;")</f>
      </c>
      <c r="L92" s="1">
        <f>=HYPERLINK("10.175.1.14\MWEB.12\SEP\MetricGraphs.SEP.10.175.1.14.MWEB.12.xlsx", "&lt;Metrics&gt;")</f>
      </c>
      <c r="M92" s="0" t="s">
        <v>101</v>
      </c>
      <c r="N92" s="0" t="s">
        <v>145</v>
      </c>
      <c r="O92" s="0" t="s">
        <v>159</v>
      </c>
      <c r="P92" s="0" t="s">
        <v>1467</v>
      </c>
    </row>
    <row r="93">
      <c r="A93" s="0" t="s">
        <v>28</v>
      </c>
      <c r="B93" s="0" t="s">
        <v>30</v>
      </c>
      <c r="C93" s="0" t="s">
        <v>158</v>
      </c>
      <c r="D93" s="0" t="s">
        <v>1028</v>
      </c>
      <c r="E93" s="0" t="s">
        <v>976</v>
      </c>
      <c r="F93" s="0" t="b">
        <v>0</v>
      </c>
      <c r="G93" s="0" t="s">
        <v>114</v>
      </c>
      <c r="H93" s="0">
        <v>12</v>
      </c>
      <c r="I93" s="0">
        <v>39</v>
      </c>
      <c r="J93" s="0">
        <v>355</v>
      </c>
      <c r="K93" s="1">
        <f>=HYPERLINK("10.175.1.14\MWEB.12\SEP\EntityDetails.10.175.1.14.MWEB.12.-WEB-INF-jsp.355.xlsx", "&lt;Detail&gt;")</f>
      </c>
      <c r="L93" s="1">
        <f>=HYPERLINK("10.175.1.14\MWEB.12\SEP\MetricGraphs.SEP.10.175.1.14.MWEB.12.xlsx", "&lt;Metrics&gt;")</f>
      </c>
      <c r="M93" s="0" t="s">
        <v>101</v>
      </c>
      <c r="N93" s="0" t="s">
        <v>145</v>
      </c>
      <c r="O93" s="0" t="s">
        <v>159</v>
      </c>
      <c r="P93" s="0" t="s">
        <v>1468</v>
      </c>
    </row>
    <row r="94">
      <c r="A94" s="0" t="s">
        <v>28</v>
      </c>
      <c r="B94" s="0" t="s">
        <v>30</v>
      </c>
      <c r="C94" s="0" t="s">
        <v>158</v>
      </c>
      <c r="D94" s="0" t="s">
        <v>1059</v>
      </c>
      <c r="E94" s="0" t="s">
        <v>976</v>
      </c>
      <c r="F94" s="0" t="b">
        <v>0</v>
      </c>
      <c r="G94" s="0" t="s">
        <v>114</v>
      </c>
      <c r="H94" s="0">
        <v>12</v>
      </c>
      <c r="I94" s="0">
        <v>39</v>
      </c>
      <c r="J94" s="0">
        <v>208</v>
      </c>
      <c r="K94" s="1">
        <f>=HYPERLINK("10.175.1.14\MWEB.12\SEP\EntityDetails.10.175.1.14.MWEB.12.-wins-inet.208.xlsx", "&lt;Detail&gt;")</f>
      </c>
      <c r="L94" s="1">
        <f>=HYPERLINK("10.175.1.14\MWEB.12\SEP\MetricGraphs.SEP.10.175.1.14.MWEB.12.xlsx", "&lt;Metrics&gt;")</f>
      </c>
      <c r="M94" s="0" t="s">
        <v>101</v>
      </c>
      <c r="N94" s="0" t="s">
        <v>145</v>
      </c>
      <c r="O94" s="0" t="s">
        <v>159</v>
      </c>
      <c r="P94" s="0" t="s">
        <v>1469</v>
      </c>
    </row>
    <row r="95">
      <c r="A95" s="0" t="s">
        <v>28</v>
      </c>
      <c r="B95" s="0" t="s">
        <v>30</v>
      </c>
      <c r="C95" s="0" t="s">
        <v>158</v>
      </c>
      <c r="D95" s="0" t="s">
        <v>1061</v>
      </c>
      <c r="E95" s="0" t="s">
        <v>976</v>
      </c>
      <c r="F95" s="0" t="b">
        <v>0</v>
      </c>
      <c r="G95" s="0" t="s">
        <v>114</v>
      </c>
      <c r="H95" s="0">
        <v>12</v>
      </c>
      <c r="I95" s="0">
        <v>39</v>
      </c>
      <c r="J95" s="0">
        <v>129</v>
      </c>
      <c r="K95" s="1">
        <f>=HYPERLINK("10.175.1.14\MWEB.12\SEP\EntityDetails.10.175.1.14.MWEB.12.-wins-inquir.129.xlsx", "&lt;Detail&gt;")</f>
      </c>
      <c r="L95" s="1">
        <f>=HYPERLINK("10.175.1.14\MWEB.12\SEP\MetricGraphs.SEP.10.175.1.14.MWEB.12.xlsx", "&lt;Metrics&gt;")</f>
      </c>
      <c r="M95" s="0" t="s">
        <v>101</v>
      </c>
      <c r="N95" s="0" t="s">
        <v>145</v>
      </c>
      <c r="O95" s="0" t="s">
        <v>159</v>
      </c>
      <c r="P95" s="0" t="s">
        <v>1470</v>
      </c>
    </row>
    <row r="96">
      <c r="A96" s="0" t="s">
        <v>28</v>
      </c>
      <c r="B96" s="0" t="s">
        <v>30</v>
      </c>
      <c r="C96" s="0" t="s">
        <v>158</v>
      </c>
      <c r="D96" s="0" t="s">
        <v>1063</v>
      </c>
      <c r="E96" s="0" t="s">
        <v>976</v>
      </c>
      <c r="F96" s="0" t="b">
        <v>0</v>
      </c>
      <c r="G96" s="0" t="s">
        <v>114</v>
      </c>
      <c r="H96" s="0">
        <v>12</v>
      </c>
      <c r="I96" s="0">
        <v>39</v>
      </c>
      <c r="J96" s="0">
        <v>126</v>
      </c>
      <c r="K96" s="1">
        <f>=HYPERLINK("10.175.1.14\MWEB.12\SEP\EntityDetails.10.175.1.14.MWEB.12.-wins-login.126.xlsx", "&lt;Detail&gt;")</f>
      </c>
      <c r="L96" s="1">
        <f>=HYPERLINK("10.175.1.14\MWEB.12\SEP\MetricGraphs.SEP.10.175.1.14.MWEB.12.xlsx", "&lt;Metrics&gt;")</f>
      </c>
      <c r="M96" s="0" t="s">
        <v>101</v>
      </c>
      <c r="N96" s="0" t="s">
        <v>145</v>
      </c>
      <c r="O96" s="0" t="s">
        <v>159</v>
      </c>
      <c r="P96" s="0" t="s">
        <v>1471</v>
      </c>
    </row>
    <row r="97">
      <c r="A97" s="0" t="s">
        <v>28</v>
      </c>
      <c r="B97" s="0" t="s">
        <v>30</v>
      </c>
      <c r="C97" s="0" t="s">
        <v>158</v>
      </c>
      <c r="D97" s="0" t="s">
        <v>1065</v>
      </c>
      <c r="E97" s="0" t="s">
        <v>976</v>
      </c>
      <c r="F97" s="0" t="b">
        <v>0</v>
      </c>
      <c r="G97" s="0" t="s">
        <v>114</v>
      </c>
      <c r="H97" s="0">
        <v>12</v>
      </c>
      <c r="I97" s="0">
        <v>39</v>
      </c>
      <c r="J97" s="0">
        <v>128</v>
      </c>
      <c r="K97" s="1">
        <f>=HYPERLINK("10.175.1.14\MWEB.12\SEP\EntityDetails.10.175.1.14.MWEB.12.-wins-passwo.128.xlsx", "&lt;Detail&gt;")</f>
      </c>
      <c r="L97" s="1">
        <f>=HYPERLINK("10.175.1.14\MWEB.12\SEP\MetricGraphs.SEP.10.175.1.14.MWEB.12.xlsx", "&lt;Metrics&gt;")</f>
      </c>
      <c r="M97" s="0" t="s">
        <v>101</v>
      </c>
      <c r="N97" s="0" t="s">
        <v>145</v>
      </c>
      <c r="O97" s="0" t="s">
        <v>159</v>
      </c>
      <c r="P97" s="0" t="s">
        <v>1472</v>
      </c>
    </row>
    <row r="98">
      <c r="A98" s="0" t="s">
        <v>28</v>
      </c>
      <c r="B98" s="0" t="s">
        <v>30</v>
      </c>
      <c r="C98" s="0" t="s">
        <v>158</v>
      </c>
      <c r="D98" s="0" t="s">
        <v>1067</v>
      </c>
      <c r="E98" s="0" t="s">
        <v>976</v>
      </c>
      <c r="F98" s="0" t="b">
        <v>0</v>
      </c>
      <c r="G98" s="0" t="s">
        <v>114</v>
      </c>
      <c r="H98" s="0">
        <v>12</v>
      </c>
      <c r="I98" s="0">
        <v>39</v>
      </c>
      <c r="J98" s="0">
        <v>142</v>
      </c>
      <c r="K98" s="1">
        <f>=HYPERLINK("10.175.1.14\MWEB.12\SEP\EntityDetails.10.175.1.14.MWEB.12.-wins-reques.142.xlsx", "&lt;Detail&gt;")</f>
      </c>
      <c r="L98" s="1">
        <f>=HYPERLINK("10.175.1.14\MWEB.12\SEP\MetricGraphs.SEP.10.175.1.14.MWEB.12.xlsx", "&lt;Metrics&gt;")</f>
      </c>
      <c r="M98" s="0" t="s">
        <v>101</v>
      </c>
      <c r="N98" s="0" t="s">
        <v>145</v>
      </c>
      <c r="O98" s="0" t="s">
        <v>159</v>
      </c>
      <c r="P98" s="0" t="s">
        <v>1473</v>
      </c>
    </row>
    <row r="99">
      <c r="A99" s="0" t="s">
        <v>28</v>
      </c>
      <c r="B99" s="0" t="s">
        <v>30</v>
      </c>
      <c r="C99" s="0" t="s">
        <v>158</v>
      </c>
      <c r="D99" s="0" t="s">
        <v>1069</v>
      </c>
      <c r="E99" s="0" t="s">
        <v>976</v>
      </c>
      <c r="F99" s="0" t="b">
        <v>0</v>
      </c>
      <c r="G99" s="0" t="s">
        <v>114</v>
      </c>
      <c r="H99" s="0">
        <v>12</v>
      </c>
      <c r="I99" s="0">
        <v>39</v>
      </c>
      <c r="J99" s="0">
        <v>135</v>
      </c>
      <c r="K99" s="1">
        <f>=HYPERLINK("10.175.1.14\MWEB.12\SEP\EntityDetails.10.175.1.14.MWEB.12.-wins-reset.135.xlsx", "&lt;Detail&gt;")</f>
      </c>
      <c r="L99" s="1">
        <f>=HYPERLINK("10.175.1.14\MWEB.12\SEP\MetricGraphs.SEP.10.175.1.14.MWEB.12.xlsx", "&lt;Metrics&gt;")</f>
      </c>
      <c r="M99" s="0" t="s">
        <v>101</v>
      </c>
      <c r="N99" s="0" t="s">
        <v>145</v>
      </c>
      <c r="O99" s="0" t="s">
        <v>159</v>
      </c>
      <c r="P99" s="0" t="s">
        <v>1474</v>
      </c>
    </row>
    <row r="100">
      <c r="A100" s="0" t="s">
        <v>28</v>
      </c>
      <c r="B100" s="0" t="s">
        <v>30</v>
      </c>
      <c r="C100" s="0" t="s">
        <v>158</v>
      </c>
      <c r="D100" s="0" t="s">
        <v>1071</v>
      </c>
      <c r="E100" s="0" t="s">
        <v>976</v>
      </c>
      <c r="F100" s="0" t="b">
        <v>0</v>
      </c>
      <c r="G100" s="0" t="s">
        <v>114</v>
      </c>
      <c r="H100" s="0">
        <v>12</v>
      </c>
      <c r="I100" s="0">
        <v>39</v>
      </c>
      <c r="J100" s="0">
        <v>127</v>
      </c>
      <c r="K100" s="1">
        <f>=HYPERLINK("10.175.1.14\MWEB.12\SEP\EntityDetails.10.175.1.14.MWEB.12.-wins-select.127.xlsx", "&lt;Detail&gt;")</f>
      </c>
      <c r="L100" s="1">
        <f>=HYPERLINK("10.175.1.14\MWEB.12\SEP\MetricGraphs.SEP.10.175.1.14.MWEB.12.xlsx", "&lt;Metrics&gt;")</f>
      </c>
      <c r="M100" s="0" t="s">
        <v>101</v>
      </c>
      <c r="N100" s="0" t="s">
        <v>145</v>
      </c>
      <c r="O100" s="0" t="s">
        <v>159</v>
      </c>
      <c r="P100" s="0" t="s">
        <v>1475</v>
      </c>
    </row>
    <row r="101">
      <c r="A101" s="0" t="s">
        <v>28</v>
      </c>
      <c r="B101" s="0" t="s">
        <v>30</v>
      </c>
      <c r="C101" s="0" t="s">
        <v>158</v>
      </c>
      <c r="D101" s="0" t="s">
        <v>1476</v>
      </c>
      <c r="E101" s="0" t="s">
        <v>976</v>
      </c>
      <c r="F101" s="0" t="b">
        <v>0</v>
      </c>
      <c r="G101" s="0" t="s">
        <v>114</v>
      </c>
      <c r="H101" s="0">
        <v>12</v>
      </c>
      <c r="I101" s="0">
        <v>39</v>
      </c>
      <c r="J101" s="0">
        <v>141</v>
      </c>
      <c r="K101" s="1">
        <f>=HYPERLINK("10.175.1.14\MWEB.12\SEP\EntityDetails.10.175.1.14.MWEB.12.-wins-System.141.xlsx", "&lt;Detail&gt;")</f>
      </c>
      <c r="L101" s="1">
        <f>=HYPERLINK("10.175.1.14\MWEB.12\SEP\MetricGraphs.SEP.10.175.1.14.MWEB.12.xlsx", "&lt;Metrics&gt;")</f>
      </c>
      <c r="M101" s="0" t="s">
        <v>101</v>
      </c>
      <c r="N101" s="0" t="s">
        <v>145</v>
      </c>
      <c r="O101" s="0" t="s">
        <v>159</v>
      </c>
      <c r="P101" s="0" t="s">
        <v>1477</v>
      </c>
    </row>
    <row r="102">
      <c r="A102" s="0" t="s">
        <v>28</v>
      </c>
      <c r="B102" s="0" t="s">
        <v>30</v>
      </c>
      <c r="C102" s="0" t="s">
        <v>158</v>
      </c>
      <c r="D102" s="0" t="s">
        <v>1073</v>
      </c>
      <c r="E102" s="0" t="s">
        <v>976</v>
      </c>
      <c r="F102" s="0" t="b">
        <v>0</v>
      </c>
      <c r="G102" s="0" t="s">
        <v>114</v>
      </c>
      <c r="H102" s="0">
        <v>12</v>
      </c>
      <c r="I102" s="0">
        <v>39</v>
      </c>
      <c r="J102" s="0">
        <v>156</v>
      </c>
      <c r="K102" s="1">
        <f>=HYPERLINK("10.175.1.14\MWEB.12\SEP\EntityDetails.10.175.1.14.MWEB.12.-wins-userad.156.xlsx", "&lt;Detail&gt;")</f>
      </c>
      <c r="L102" s="1">
        <f>=HYPERLINK("10.175.1.14\MWEB.12\SEP\MetricGraphs.SEP.10.175.1.14.MWEB.12.xlsx", "&lt;Metrics&gt;")</f>
      </c>
      <c r="M102" s="0" t="s">
        <v>101</v>
      </c>
      <c r="N102" s="0" t="s">
        <v>145</v>
      </c>
      <c r="O102" s="0" t="s">
        <v>159</v>
      </c>
      <c r="P102" s="0" t="s">
        <v>1478</v>
      </c>
    </row>
    <row r="103">
      <c r="A103" s="0" t="s">
        <v>28</v>
      </c>
      <c r="B103" s="0" t="s">
        <v>30</v>
      </c>
      <c r="C103" s="0" t="s">
        <v>158</v>
      </c>
      <c r="D103" s="0" t="s">
        <v>1075</v>
      </c>
      <c r="E103" s="0" t="s">
        <v>976</v>
      </c>
      <c r="F103" s="0" t="b">
        <v>0</v>
      </c>
      <c r="G103" s="0" t="s">
        <v>114</v>
      </c>
      <c r="H103" s="0">
        <v>12</v>
      </c>
      <c r="I103" s="0">
        <v>39</v>
      </c>
      <c r="J103" s="0">
        <v>158</v>
      </c>
      <c r="K103" s="1">
        <f>=HYPERLINK("10.175.1.14\MWEB.12\SEP\EntityDetails.10.175.1.14.MWEB.12.-wins-userch.158.xlsx", "&lt;Detail&gt;")</f>
      </c>
      <c r="L103" s="1">
        <f>=HYPERLINK("10.175.1.14\MWEB.12\SEP\MetricGraphs.SEP.10.175.1.14.MWEB.12.xlsx", "&lt;Metrics&gt;")</f>
      </c>
      <c r="M103" s="0" t="s">
        <v>101</v>
      </c>
      <c r="N103" s="0" t="s">
        <v>145</v>
      </c>
      <c r="O103" s="0" t="s">
        <v>159</v>
      </c>
      <c r="P103" s="0" t="s">
        <v>1479</v>
      </c>
    </row>
    <row r="104">
      <c r="A104" s="0" t="s">
        <v>28</v>
      </c>
      <c r="B104" s="0" t="s">
        <v>30</v>
      </c>
      <c r="C104" s="0" t="s">
        <v>158</v>
      </c>
      <c r="D104" s="0" t="s">
        <v>1077</v>
      </c>
      <c r="E104" s="0" t="s">
        <v>976</v>
      </c>
      <c r="F104" s="0" t="b">
        <v>0</v>
      </c>
      <c r="G104" s="0" t="s">
        <v>114</v>
      </c>
      <c r="H104" s="0">
        <v>12</v>
      </c>
      <c r="I104" s="0">
        <v>39</v>
      </c>
      <c r="J104" s="0">
        <v>157</v>
      </c>
      <c r="K104" s="1">
        <f>=HYPERLINK("10.175.1.14\MWEB.12\SEP\EntityDetails.10.175.1.14.MWEB.12.-wins-userde.157.xlsx", "&lt;Detail&gt;")</f>
      </c>
      <c r="L104" s="1">
        <f>=HYPERLINK("10.175.1.14\MWEB.12\SEP\MetricGraphs.SEP.10.175.1.14.MWEB.12.xlsx", "&lt;Metrics&gt;")</f>
      </c>
      <c r="M104" s="0" t="s">
        <v>101</v>
      </c>
      <c r="N104" s="0" t="s">
        <v>145</v>
      </c>
      <c r="O104" s="0" t="s">
        <v>159</v>
      </c>
      <c r="P104" s="0" t="s">
        <v>1480</v>
      </c>
    </row>
    <row r="105">
      <c r="A105" s="0" t="s">
        <v>28</v>
      </c>
      <c r="B105" s="0" t="s">
        <v>30</v>
      </c>
      <c r="C105" s="0" t="s">
        <v>158</v>
      </c>
      <c r="D105" s="0" t="s">
        <v>1276</v>
      </c>
      <c r="E105" s="0" t="s">
        <v>976</v>
      </c>
      <c r="F105" s="0" t="b">
        <v>0</v>
      </c>
      <c r="G105" s="0" t="s">
        <v>114</v>
      </c>
      <c r="H105" s="0">
        <v>12</v>
      </c>
      <c r="I105" s="0">
        <v>39</v>
      </c>
      <c r="J105" s="0">
        <v>125</v>
      </c>
      <c r="K105" s="1">
        <f>=HYPERLINK("10.175.1.14\MWEB.12\SEP\EntityDetails.10.175.1.14.MWEB.12.-wins-WEB-IN.125.xlsx", "&lt;Detail&gt;")</f>
      </c>
      <c r="L105" s="1">
        <f>=HYPERLINK("10.175.1.14\MWEB.12\SEP\MetricGraphs.SEP.10.175.1.14.MWEB.12.xlsx", "&lt;Metrics&gt;")</f>
      </c>
      <c r="M105" s="0" t="s">
        <v>101</v>
      </c>
      <c r="N105" s="0" t="s">
        <v>145</v>
      </c>
      <c r="O105" s="0" t="s">
        <v>159</v>
      </c>
      <c r="P105" s="0" t="s">
        <v>1481</v>
      </c>
    </row>
    <row r="106">
      <c r="A106" s="0" t="s">
        <v>28</v>
      </c>
      <c r="B106" s="0" t="s">
        <v>30</v>
      </c>
      <c r="C106" s="0" t="s">
        <v>160</v>
      </c>
      <c r="D106" s="0" t="s">
        <v>1269</v>
      </c>
      <c r="E106" s="0" t="s">
        <v>1270</v>
      </c>
      <c r="F106" s="0" t="b">
        <v>0</v>
      </c>
      <c r="G106" s="0" t="s">
        <v>114</v>
      </c>
      <c r="H106" s="0">
        <v>12</v>
      </c>
      <c r="I106" s="0">
        <v>41</v>
      </c>
      <c r="J106" s="0">
        <v>352</v>
      </c>
      <c r="K106" s="1">
        <f>=HYPERLINK("10.175.1.14\MWEB.12\SEP\EntityDetails.10.175.1.14.MWEB.12.-.POST.352.xlsx", "&lt;Detail&gt;")</f>
      </c>
      <c r="L106" s="1">
        <f>=HYPERLINK("10.175.1.14\MWEB.12\SEP\MetricGraphs.SEP.10.175.1.14.MWEB.12.xlsx", "&lt;Metrics&gt;")</f>
      </c>
      <c r="M106" s="0" t="s">
        <v>101</v>
      </c>
      <c r="N106" s="0" t="s">
        <v>145</v>
      </c>
      <c r="O106" s="0" t="s">
        <v>161</v>
      </c>
      <c r="P106" s="0" t="s">
        <v>1482</v>
      </c>
    </row>
    <row r="107">
      <c r="A107" s="0" t="s">
        <v>28</v>
      </c>
      <c r="B107" s="0" t="s">
        <v>30</v>
      </c>
      <c r="C107" s="0" t="s">
        <v>160</v>
      </c>
      <c r="D107" s="0" t="s">
        <v>1080</v>
      </c>
      <c r="E107" s="0" t="s">
        <v>976</v>
      </c>
      <c r="F107" s="0" t="b">
        <v>0</v>
      </c>
      <c r="G107" s="0" t="s">
        <v>114</v>
      </c>
      <c r="H107" s="0">
        <v>12</v>
      </c>
      <c r="I107" s="0">
        <v>41</v>
      </c>
      <c r="J107" s="0">
        <v>702</v>
      </c>
      <c r="K107" s="1">
        <f>=HYPERLINK("10.175.1.14\MWEB.12\SEP\EntityDetails.10.175.1.14.MWEB.12.-connect-ind.702.xlsx", "&lt;Detail&gt;")</f>
      </c>
      <c r="L107" s="1">
        <f>=HYPERLINK("10.175.1.14\MWEB.12\SEP\MetricGraphs.SEP.10.175.1.14.MWEB.12.xlsx", "&lt;Metrics&gt;")</f>
      </c>
      <c r="M107" s="0" t="s">
        <v>101</v>
      </c>
      <c r="N107" s="0" t="s">
        <v>145</v>
      </c>
      <c r="O107" s="0" t="s">
        <v>161</v>
      </c>
      <c r="P107" s="0" t="s">
        <v>1483</v>
      </c>
    </row>
    <row r="108">
      <c r="A108" s="0" t="s">
        <v>28</v>
      </c>
      <c r="B108" s="0" t="s">
        <v>30</v>
      </c>
      <c r="C108" s="0" t="s">
        <v>160</v>
      </c>
      <c r="D108" s="0" t="s">
        <v>1091</v>
      </c>
      <c r="E108" s="0" t="s">
        <v>976</v>
      </c>
      <c r="F108" s="0" t="b">
        <v>0</v>
      </c>
      <c r="G108" s="0" t="s">
        <v>114</v>
      </c>
      <c r="H108" s="0">
        <v>12</v>
      </c>
      <c r="I108" s="0">
        <v>41</v>
      </c>
      <c r="J108" s="0">
        <v>445</v>
      </c>
      <c r="K108" s="1">
        <f>=HYPERLINK("10.175.1.14\MWEB.12\SEP\EntityDetails.10.175.1.14.MWEB.12.-connect-mob.445.xlsx", "&lt;Detail&gt;")</f>
      </c>
      <c r="L108" s="1">
        <f>=HYPERLINK("10.175.1.14\MWEB.12\SEP\MetricGraphs.SEP.10.175.1.14.MWEB.12.xlsx", "&lt;Metrics&gt;")</f>
      </c>
      <c r="M108" s="0" t="s">
        <v>101</v>
      </c>
      <c r="N108" s="0" t="s">
        <v>145</v>
      </c>
      <c r="O108" s="0" t="s">
        <v>161</v>
      </c>
      <c r="P108" s="0" t="s">
        <v>1484</v>
      </c>
    </row>
    <row r="109">
      <c r="A109" s="0" t="s">
        <v>28</v>
      </c>
      <c r="B109" s="0" t="s">
        <v>30</v>
      </c>
      <c r="C109" s="0" t="s">
        <v>160</v>
      </c>
      <c r="D109" s="0" t="s">
        <v>1026</v>
      </c>
      <c r="E109" s="0" t="s">
        <v>976</v>
      </c>
      <c r="F109" s="0" t="b">
        <v>0</v>
      </c>
      <c r="G109" s="0" t="s">
        <v>114</v>
      </c>
      <c r="H109" s="0">
        <v>12</v>
      </c>
      <c r="I109" s="0">
        <v>41</v>
      </c>
      <c r="J109" s="0">
        <v>351</v>
      </c>
      <c r="K109" s="1">
        <f>=HYPERLINK("10.175.1.14\MWEB.12\SEP\EntityDetails.10.175.1.14.MWEB.12.-management-.351.xlsx", "&lt;Detail&gt;")</f>
      </c>
      <c r="L109" s="1">
        <f>=HYPERLINK("10.175.1.14\MWEB.12\SEP\MetricGraphs.SEP.10.175.1.14.MWEB.12.xlsx", "&lt;Metrics&gt;")</f>
      </c>
      <c r="M109" s="0" t="s">
        <v>101</v>
      </c>
      <c r="N109" s="0" t="s">
        <v>145</v>
      </c>
      <c r="O109" s="0" t="s">
        <v>161</v>
      </c>
      <c r="P109" s="0" t="s">
        <v>1485</v>
      </c>
    </row>
    <row r="110">
      <c r="A110" s="0" t="s">
        <v>28</v>
      </c>
      <c r="B110" s="0" t="s">
        <v>30</v>
      </c>
      <c r="C110" s="0" t="s">
        <v>162</v>
      </c>
      <c r="D110" s="0" t="s">
        <v>1269</v>
      </c>
      <c r="E110" s="0" t="s">
        <v>1270</v>
      </c>
      <c r="F110" s="0" t="b">
        <v>0</v>
      </c>
      <c r="G110" s="0" t="s">
        <v>114</v>
      </c>
      <c r="H110" s="0">
        <v>12</v>
      </c>
      <c r="I110" s="0">
        <v>40</v>
      </c>
      <c r="J110" s="0">
        <v>357</v>
      </c>
      <c r="K110" s="1">
        <f>=HYPERLINK("10.175.1.14\MWEB.12\SEP\EntityDetails.10.175.1.14.MWEB.12.-.POST.357.xlsx", "&lt;Detail&gt;")</f>
      </c>
      <c r="L110" s="1">
        <f>=HYPERLINK("10.175.1.14\MWEB.12\SEP\MetricGraphs.SEP.10.175.1.14.MWEB.12.xlsx", "&lt;Metrics&gt;")</f>
      </c>
      <c r="M110" s="0" t="s">
        <v>101</v>
      </c>
      <c r="N110" s="0" t="s">
        <v>145</v>
      </c>
      <c r="O110" s="0" t="s">
        <v>163</v>
      </c>
      <c r="P110" s="0" t="s">
        <v>1486</v>
      </c>
    </row>
    <row r="111">
      <c r="A111" s="0" t="s">
        <v>28</v>
      </c>
      <c r="B111" s="0" t="s">
        <v>30</v>
      </c>
      <c r="C111" s="0" t="s">
        <v>162</v>
      </c>
      <c r="D111" s="0" t="s">
        <v>984</v>
      </c>
      <c r="E111" s="0" t="s">
        <v>976</v>
      </c>
      <c r="F111" s="0" t="b">
        <v>0</v>
      </c>
      <c r="G111" s="0" t="s">
        <v>114</v>
      </c>
      <c r="H111" s="0">
        <v>12</v>
      </c>
      <c r="I111" s="0">
        <v>40</v>
      </c>
      <c r="J111" s="0">
        <v>359</v>
      </c>
      <c r="K111" s="1">
        <f>=HYPERLINK("10.175.1.14\MWEB.12\SEP\EntityDetails.10.175.1.14.MWEB.12.-HealthMonit.359.xlsx", "&lt;Detail&gt;")</f>
      </c>
      <c r="L111" s="1">
        <f>=HYPERLINK("10.175.1.14\MWEB.12\SEP\MetricGraphs.SEP.10.175.1.14.MWEB.12.xlsx", "&lt;Metrics&gt;")</f>
      </c>
      <c r="M111" s="0" t="s">
        <v>101</v>
      </c>
      <c r="N111" s="0" t="s">
        <v>145</v>
      </c>
      <c r="O111" s="0" t="s">
        <v>163</v>
      </c>
      <c r="P111" s="0" t="s">
        <v>1487</v>
      </c>
    </row>
    <row r="112">
      <c r="A112" s="0" t="s">
        <v>28</v>
      </c>
      <c r="B112" s="0" t="s">
        <v>30</v>
      </c>
      <c r="C112" s="0" t="s">
        <v>162</v>
      </c>
      <c r="D112" s="0" t="s">
        <v>1004</v>
      </c>
      <c r="E112" s="0" t="s">
        <v>976</v>
      </c>
      <c r="F112" s="0" t="b">
        <v>0</v>
      </c>
      <c r="G112" s="0" t="s">
        <v>114</v>
      </c>
      <c r="H112" s="0">
        <v>12</v>
      </c>
      <c r="I112" s="0">
        <v>40</v>
      </c>
      <c r="J112" s="0">
        <v>1567</v>
      </c>
      <c r="K112" s="1">
        <f>=HYPERLINK("10.175.1.14\MWEB.12\SEP\EntityDetails.10.175.1.14.MWEB.12.-inet-online.1567.xlsx", "&lt;Detail&gt;")</f>
      </c>
      <c r="L112" s="1">
        <f>=HYPERLINK("10.175.1.14\MWEB.12\SEP\MetricGraphs.SEP.10.175.1.14.MWEB.12.xlsx", "&lt;Metrics&gt;")</f>
      </c>
      <c r="M112" s="0" t="s">
        <v>101</v>
      </c>
      <c r="N112" s="0" t="s">
        <v>145</v>
      </c>
      <c r="O112" s="0" t="s">
        <v>163</v>
      </c>
      <c r="P112" s="0" t="s">
        <v>1488</v>
      </c>
    </row>
    <row r="113">
      <c r="A113" s="0" t="s">
        <v>28</v>
      </c>
      <c r="B113" s="0" t="s">
        <v>30</v>
      </c>
      <c r="C113" s="0" t="s">
        <v>162</v>
      </c>
      <c r="D113" s="0" t="s">
        <v>1489</v>
      </c>
      <c r="E113" s="0" t="s">
        <v>976</v>
      </c>
      <c r="F113" s="0" t="b">
        <v>0</v>
      </c>
      <c r="G113" s="0" t="s">
        <v>114</v>
      </c>
      <c r="H113" s="0">
        <v>12</v>
      </c>
      <c r="I113" s="0">
        <v>40</v>
      </c>
      <c r="J113" s="0">
        <v>433</v>
      </c>
      <c r="K113" s="1">
        <f>=HYPERLINK("10.175.1.14\MWEB.12\SEP\EntityDetails.10.175.1.14.MWEB.12.-inet-ufjc.433.xlsx", "&lt;Detail&gt;")</f>
      </c>
      <c r="L113" s="1">
        <f>=HYPERLINK("10.175.1.14\MWEB.12\SEP\MetricGraphs.SEP.10.175.1.14.MWEB.12.xlsx", "&lt;Metrics&gt;")</f>
      </c>
      <c r="M113" s="0" t="s">
        <v>101</v>
      </c>
      <c r="N113" s="0" t="s">
        <v>145</v>
      </c>
      <c r="O113" s="0" t="s">
        <v>163</v>
      </c>
      <c r="P113" s="0" t="s">
        <v>1490</v>
      </c>
    </row>
    <row r="114">
      <c r="A114" s="0" t="s">
        <v>28</v>
      </c>
      <c r="B114" s="0" t="s">
        <v>30</v>
      </c>
      <c r="C114" s="0" t="s">
        <v>162</v>
      </c>
      <c r="D114" s="0" t="s">
        <v>1026</v>
      </c>
      <c r="E114" s="0" t="s">
        <v>976</v>
      </c>
      <c r="F114" s="0" t="b">
        <v>0</v>
      </c>
      <c r="G114" s="0" t="s">
        <v>114</v>
      </c>
      <c r="H114" s="0">
        <v>12</v>
      </c>
      <c r="I114" s="0">
        <v>40</v>
      </c>
      <c r="J114" s="0">
        <v>356</v>
      </c>
      <c r="K114" s="1">
        <f>=HYPERLINK("10.175.1.14\MWEB.12\SEP\EntityDetails.10.175.1.14.MWEB.12.-management-.356.xlsx", "&lt;Detail&gt;")</f>
      </c>
      <c r="L114" s="1">
        <f>=HYPERLINK("10.175.1.14\MWEB.12\SEP\MetricGraphs.SEP.10.175.1.14.MWEB.12.xlsx", "&lt;Metrics&gt;")</f>
      </c>
      <c r="M114" s="0" t="s">
        <v>101</v>
      </c>
      <c r="N114" s="0" t="s">
        <v>145</v>
      </c>
      <c r="O114" s="0" t="s">
        <v>163</v>
      </c>
      <c r="P114" s="0" t="s">
        <v>1491</v>
      </c>
    </row>
    <row r="115">
      <c r="A115" s="0" t="s">
        <v>28</v>
      </c>
      <c r="B115" s="0" t="s">
        <v>30</v>
      </c>
      <c r="C115" s="0" t="s">
        <v>162</v>
      </c>
      <c r="D115" s="0" t="s">
        <v>1086</v>
      </c>
      <c r="E115" s="0" t="s">
        <v>976</v>
      </c>
      <c r="F115" s="0" t="b">
        <v>0</v>
      </c>
      <c r="G115" s="0" t="s">
        <v>114</v>
      </c>
      <c r="H115" s="0">
        <v>12</v>
      </c>
      <c r="I115" s="0">
        <v>40</v>
      </c>
      <c r="J115" s="0">
        <v>849</v>
      </c>
      <c r="K115" s="1">
        <f>=HYPERLINK("10.175.1.14\MWEB.12\SEP\EntityDetails.10.175.1.14.MWEB.12.-net-online.849.xlsx", "&lt;Detail&gt;")</f>
      </c>
      <c r="L115" s="1">
        <f>=HYPERLINK("10.175.1.14\MWEB.12\SEP\MetricGraphs.SEP.10.175.1.14.MWEB.12.xlsx", "&lt;Metrics&gt;")</f>
      </c>
      <c r="M115" s="0" t="s">
        <v>101</v>
      </c>
      <c r="N115" s="0" t="s">
        <v>145</v>
      </c>
      <c r="O115" s="0" t="s">
        <v>163</v>
      </c>
      <c r="P115" s="0" t="s">
        <v>1492</v>
      </c>
    </row>
    <row r="116">
      <c r="A116" s="0" t="s">
        <v>28</v>
      </c>
      <c r="B116" s="0" t="s">
        <v>30</v>
      </c>
      <c r="C116" s="0" t="s">
        <v>162</v>
      </c>
      <c r="D116" s="0" t="s">
        <v>1028</v>
      </c>
      <c r="E116" s="0" t="s">
        <v>976</v>
      </c>
      <c r="F116" s="0" t="b">
        <v>0</v>
      </c>
      <c r="G116" s="0" t="s">
        <v>114</v>
      </c>
      <c r="H116" s="0">
        <v>12</v>
      </c>
      <c r="I116" s="0">
        <v>40</v>
      </c>
      <c r="J116" s="0">
        <v>874</v>
      </c>
      <c r="K116" s="1">
        <f>=HYPERLINK("10.175.1.14\MWEB.12\SEP\EntityDetails.10.175.1.14.MWEB.12.-WEB-INF-jsp.874.xlsx", "&lt;Detail&gt;")</f>
      </c>
      <c r="L116" s="1">
        <f>=HYPERLINK("10.175.1.14\MWEB.12\SEP\MetricGraphs.SEP.10.175.1.14.MWEB.12.xlsx", "&lt;Metrics&gt;")</f>
      </c>
      <c r="M116" s="0" t="s">
        <v>101</v>
      </c>
      <c r="N116" s="0" t="s">
        <v>145</v>
      </c>
      <c r="O116" s="0" t="s">
        <v>163</v>
      </c>
      <c r="P116" s="0" t="s">
        <v>1493</v>
      </c>
    </row>
    <row r="117">
      <c r="A117" s="0" t="s">
        <v>28</v>
      </c>
      <c r="B117" s="0" t="s">
        <v>30</v>
      </c>
      <c r="C117" s="0" t="s">
        <v>164</v>
      </c>
      <c r="D117" s="0" t="s">
        <v>1269</v>
      </c>
      <c r="E117" s="0" t="s">
        <v>1270</v>
      </c>
      <c r="F117" s="0" t="b">
        <v>0</v>
      </c>
      <c r="G117" s="0" t="s">
        <v>114</v>
      </c>
      <c r="H117" s="0">
        <v>12</v>
      </c>
      <c r="I117" s="0">
        <v>36</v>
      </c>
      <c r="J117" s="0">
        <v>154</v>
      </c>
      <c r="K117" s="1">
        <f>=HYPERLINK("10.175.1.14\MWEB.12\SEP\EntityDetails.10.175.1.14.MWEB.12.-.POST.154.xlsx", "&lt;Detail&gt;")</f>
      </c>
      <c r="L117" s="1">
        <f>=HYPERLINK("10.175.1.14\MWEB.12\SEP\MetricGraphs.SEP.10.175.1.14.MWEB.12.xlsx", "&lt;Metrics&gt;")</f>
      </c>
      <c r="M117" s="0" t="s">
        <v>101</v>
      </c>
      <c r="N117" s="0" t="s">
        <v>145</v>
      </c>
      <c r="O117" s="0" t="s">
        <v>165</v>
      </c>
      <c r="P117" s="0" t="s">
        <v>1494</v>
      </c>
    </row>
    <row r="118">
      <c r="A118" s="0" t="s">
        <v>28</v>
      </c>
      <c r="B118" s="0" t="s">
        <v>30</v>
      </c>
      <c r="C118" s="0" t="s">
        <v>164</v>
      </c>
      <c r="D118" s="0" t="s">
        <v>1495</v>
      </c>
      <c r="E118" s="0" t="s">
        <v>976</v>
      </c>
      <c r="F118" s="0" t="b">
        <v>0</v>
      </c>
      <c r="G118" s="0" t="s">
        <v>114</v>
      </c>
      <c r="H118" s="0">
        <v>12</v>
      </c>
      <c r="I118" s="0">
        <v>36</v>
      </c>
      <c r="J118" s="0">
        <v>1245</v>
      </c>
      <c r="K118" s="1">
        <f>=HYPERLINK("10.175.1.14\MWEB.12\SEP\EntityDetails.10.175.1.14.MWEB.12.-1mnvanfx.js.1245.xlsx", "&lt;Detail&gt;")</f>
      </c>
      <c r="L118" s="1">
        <f>=HYPERLINK("10.175.1.14\MWEB.12\SEP\MetricGraphs.SEP.10.175.1.14.MWEB.12.xlsx", "&lt;Metrics&gt;")</f>
      </c>
      <c r="M118" s="0" t="s">
        <v>101</v>
      </c>
      <c r="N118" s="0" t="s">
        <v>145</v>
      </c>
      <c r="O118" s="0" t="s">
        <v>165</v>
      </c>
      <c r="P118" s="0" t="s">
        <v>1496</v>
      </c>
    </row>
    <row r="119">
      <c r="A119" s="0" t="s">
        <v>28</v>
      </c>
      <c r="B119" s="0" t="s">
        <v>30</v>
      </c>
      <c r="C119" s="0" t="s">
        <v>164</v>
      </c>
      <c r="D119" s="0" t="s">
        <v>975</v>
      </c>
      <c r="E119" s="0" t="s">
        <v>976</v>
      </c>
      <c r="F119" s="0" t="b">
        <v>0</v>
      </c>
      <c r="G119" s="0" t="s">
        <v>114</v>
      </c>
      <c r="H119" s="0">
        <v>12</v>
      </c>
      <c r="I119" s="0">
        <v>36</v>
      </c>
      <c r="J119" s="0">
        <v>1223</v>
      </c>
      <c r="K119" s="1">
        <f>=HYPERLINK("10.175.1.14\MWEB.12\SEP\EntityDetails.10.175.1.14.MWEB.12.-admin-login.1223.xlsx", "&lt;Detail&gt;")</f>
      </c>
      <c r="L119" s="1">
        <f>=HYPERLINK("10.175.1.14\MWEB.12\SEP\MetricGraphs.SEP.10.175.1.14.MWEB.12.xlsx", "&lt;Metrics&gt;")</f>
      </c>
      <c r="M119" s="0" t="s">
        <v>101</v>
      </c>
      <c r="N119" s="0" t="s">
        <v>145</v>
      </c>
      <c r="O119" s="0" t="s">
        <v>165</v>
      </c>
      <c r="P119" s="0" t="s">
        <v>1497</v>
      </c>
    </row>
    <row r="120">
      <c r="A120" s="0" t="s">
        <v>28</v>
      </c>
      <c r="B120" s="0" t="s">
        <v>30</v>
      </c>
      <c r="C120" s="0" t="s">
        <v>164</v>
      </c>
      <c r="D120" s="0" t="s">
        <v>1498</v>
      </c>
      <c r="E120" s="0" t="s">
        <v>976</v>
      </c>
      <c r="F120" s="0" t="b">
        <v>0</v>
      </c>
      <c r="G120" s="0" t="s">
        <v>114</v>
      </c>
      <c r="H120" s="0">
        <v>12</v>
      </c>
      <c r="I120" s="0">
        <v>36</v>
      </c>
      <c r="J120" s="0">
        <v>1247</v>
      </c>
      <c r="K120" s="1">
        <f>=HYPERLINK("10.175.1.14\MWEB.12\SEP\EntityDetails.10.175.1.14.MWEB.12.-axis2-axis2.1247.xlsx", "&lt;Detail&gt;")</f>
      </c>
      <c r="L120" s="1">
        <f>=HYPERLINK("10.175.1.14\MWEB.12\SEP\MetricGraphs.SEP.10.175.1.14.MWEB.12.xlsx", "&lt;Metrics&gt;")</f>
      </c>
      <c r="M120" s="0" t="s">
        <v>101</v>
      </c>
      <c r="N120" s="0" t="s">
        <v>145</v>
      </c>
      <c r="O120" s="0" t="s">
        <v>165</v>
      </c>
      <c r="P120" s="0" t="s">
        <v>1499</v>
      </c>
    </row>
    <row r="121">
      <c r="A121" s="0" t="s">
        <v>28</v>
      </c>
      <c r="B121" s="0" t="s">
        <v>30</v>
      </c>
      <c r="C121" s="0" t="s">
        <v>164</v>
      </c>
      <c r="D121" s="0" t="s">
        <v>1500</v>
      </c>
      <c r="E121" s="0" t="s">
        <v>976</v>
      </c>
      <c r="F121" s="0" t="b">
        <v>0</v>
      </c>
      <c r="G121" s="0" t="s">
        <v>114</v>
      </c>
      <c r="H121" s="0">
        <v>12</v>
      </c>
      <c r="I121" s="0">
        <v>36</v>
      </c>
      <c r="J121" s="0">
        <v>1241</v>
      </c>
      <c r="K121" s="1">
        <f>=HYPERLINK("10.175.1.14\MWEB.12\SEP\EntityDetails.10.175.1.14.MWEB.12.-cgi-bin-1mn.1241.xlsx", "&lt;Detail&gt;")</f>
      </c>
      <c r="L121" s="1">
        <f>=HYPERLINK("10.175.1.14\MWEB.12\SEP\MetricGraphs.SEP.10.175.1.14.MWEB.12.xlsx", "&lt;Metrics&gt;")</f>
      </c>
      <c r="M121" s="0" t="s">
        <v>101</v>
      </c>
      <c r="N121" s="0" t="s">
        <v>145</v>
      </c>
      <c r="O121" s="0" t="s">
        <v>165</v>
      </c>
      <c r="P121" s="0" t="s">
        <v>1501</v>
      </c>
    </row>
    <row r="122">
      <c r="A122" s="0" t="s">
        <v>28</v>
      </c>
      <c r="B122" s="0" t="s">
        <v>30</v>
      </c>
      <c r="C122" s="0" t="s">
        <v>164</v>
      </c>
      <c r="D122" s="0" t="s">
        <v>1502</v>
      </c>
      <c r="E122" s="0" t="s">
        <v>976</v>
      </c>
      <c r="F122" s="0" t="b">
        <v>0</v>
      </c>
      <c r="G122" s="0" t="s">
        <v>114</v>
      </c>
      <c r="H122" s="0">
        <v>12</v>
      </c>
      <c r="I122" s="0">
        <v>36</v>
      </c>
      <c r="J122" s="0">
        <v>1235</v>
      </c>
      <c r="K122" s="1">
        <f>=HYPERLINK("10.175.1.14\MWEB.12\SEP\EntityDetails.10.175.1.14.MWEB.12.-cgi-bin-zen.1235.xlsx", "&lt;Detail&gt;")</f>
      </c>
      <c r="L122" s="1">
        <f>=HYPERLINK("10.175.1.14\MWEB.12\SEP\MetricGraphs.SEP.10.175.1.14.MWEB.12.xlsx", "&lt;Metrics&gt;")</f>
      </c>
      <c r="M122" s="0" t="s">
        <v>101</v>
      </c>
      <c r="N122" s="0" t="s">
        <v>145</v>
      </c>
      <c r="O122" s="0" t="s">
        <v>165</v>
      </c>
      <c r="P122" s="0" t="s">
        <v>1503</v>
      </c>
    </row>
    <row r="123">
      <c r="A123" s="0" t="s">
        <v>28</v>
      </c>
      <c r="B123" s="0" t="s">
        <v>30</v>
      </c>
      <c r="C123" s="0" t="s">
        <v>164</v>
      </c>
      <c r="D123" s="0" t="s">
        <v>1504</v>
      </c>
      <c r="E123" s="0" t="s">
        <v>976</v>
      </c>
      <c r="F123" s="0" t="b">
        <v>0</v>
      </c>
      <c r="G123" s="0" t="s">
        <v>114</v>
      </c>
      <c r="H123" s="0">
        <v>12</v>
      </c>
      <c r="I123" s="0">
        <v>36</v>
      </c>
      <c r="J123" s="0">
        <v>1240</v>
      </c>
      <c r="K123" s="1">
        <f>=HYPERLINK("10.175.1.14\MWEB.12\SEP\EntityDetails.10.175.1.14.MWEB.12.-clearspace-.1240.xlsx", "&lt;Detail&gt;")</f>
      </c>
      <c r="L123" s="1">
        <f>=HYPERLINK("10.175.1.14\MWEB.12\SEP\MetricGraphs.SEP.10.175.1.14.MWEB.12.xlsx", "&lt;Metrics&gt;")</f>
      </c>
      <c r="M123" s="0" t="s">
        <v>101</v>
      </c>
      <c r="N123" s="0" t="s">
        <v>145</v>
      </c>
      <c r="O123" s="0" t="s">
        <v>165</v>
      </c>
      <c r="P123" s="0" t="s">
        <v>1505</v>
      </c>
    </row>
    <row r="124">
      <c r="A124" s="0" t="s">
        <v>28</v>
      </c>
      <c r="B124" s="0" t="s">
        <v>30</v>
      </c>
      <c r="C124" s="0" t="s">
        <v>164</v>
      </c>
      <c r="D124" s="0" t="s">
        <v>1089</v>
      </c>
      <c r="E124" s="0" t="s">
        <v>976</v>
      </c>
      <c r="F124" s="0" t="b">
        <v>0</v>
      </c>
      <c r="G124" s="0" t="s">
        <v>114</v>
      </c>
      <c r="H124" s="0">
        <v>12</v>
      </c>
      <c r="I124" s="0">
        <v>36</v>
      </c>
      <c r="J124" s="0">
        <v>196</v>
      </c>
      <c r="K124" s="1">
        <f>=HYPERLINK("10.175.1.14\MWEB.12\SEP\EntityDetails.10.175.1.14.MWEB.12.-connect-api.196.xlsx", "&lt;Detail&gt;")</f>
      </c>
      <c r="L124" s="1">
        <f>=HYPERLINK("10.175.1.14\MWEB.12\SEP\MetricGraphs.SEP.10.175.1.14.MWEB.12.xlsx", "&lt;Metrics&gt;")</f>
      </c>
      <c r="M124" s="0" t="s">
        <v>101</v>
      </c>
      <c r="N124" s="0" t="s">
        <v>145</v>
      </c>
      <c r="O124" s="0" t="s">
        <v>165</v>
      </c>
      <c r="P124" s="0" t="s">
        <v>1506</v>
      </c>
    </row>
    <row r="125">
      <c r="A125" s="0" t="s">
        <v>28</v>
      </c>
      <c r="B125" s="0" t="s">
        <v>30</v>
      </c>
      <c r="C125" s="0" t="s">
        <v>164</v>
      </c>
      <c r="D125" s="0" t="s">
        <v>1091</v>
      </c>
      <c r="E125" s="0" t="s">
        <v>976</v>
      </c>
      <c r="F125" s="0" t="b">
        <v>0</v>
      </c>
      <c r="G125" s="0" t="s">
        <v>114</v>
      </c>
      <c r="H125" s="0">
        <v>12</v>
      </c>
      <c r="I125" s="0">
        <v>36</v>
      </c>
      <c r="J125" s="0">
        <v>437</v>
      </c>
      <c r="K125" s="1">
        <f>=HYPERLINK("10.175.1.14\MWEB.12\SEP\EntityDetails.10.175.1.14.MWEB.12.-connect-mob.437.xlsx", "&lt;Detail&gt;")</f>
      </c>
      <c r="L125" s="1">
        <f>=HYPERLINK("10.175.1.14\MWEB.12\SEP\MetricGraphs.SEP.10.175.1.14.MWEB.12.xlsx", "&lt;Metrics&gt;")</f>
      </c>
      <c r="M125" s="0" t="s">
        <v>101</v>
      </c>
      <c r="N125" s="0" t="s">
        <v>145</v>
      </c>
      <c r="O125" s="0" t="s">
        <v>165</v>
      </c>
      <c r="P125" s="0" t="s">
        <v>1507</v>
      </c>
    </row>
    <row r="126">
      <c r="A126" s="0" t="s">
        <v>28</v>
      </c>
      <c r="B126" s="0" t="s">
        <v>30</v>
      </c>
      <c r="C126" s="0" t="s">
        <v>164</v>
      </c>
      <c r="D126" s="0" t="s">
        <v>1093</v>
      </c>
      <c r="E126" s="0" t="s">
        <v>976</v>
      </c>
      <c r="F126" s="0" t="b">
        <v>0</v>
      </c>
      <c r="G126" s="0" t="s">
        <v>114</v>
      </c>
      <c r="H126" s="0">
        <v>12</v>
      </c>
      <c r="I126" s="0">
        <v>36</v>
      </c>
      <c r="J126" s="0">
        <v>339</v>
      </c>
      <c r="K126" s="1">
        <f>=HYPERLINK("10.175.1.14\MWEB.12\SEP\EntityDetails.10.175.1.14.MWEB.12.-connect-red.339.xlsx", "&lt;Detail&gt;")</f>
      </c>
      <c r="L126" s="1">
        <f>=HYPERLINK("10.175.1.14\MWEB.12\SEP\MetricGraphs.SEP.10.175.1.14.MWEB.12.xlsx", "&lt;Metrics&gt;")</f>
      </c>
      <c r="M126" s="0" t="s">
        <v>101</v>
      </c>
      <c r="N126" s="0" t="s">
        <v>145</v>
      </c>
      <c r="O126" s="0" t="s">
        <v>165</v>
      </c>
      <c r="P126" s="0" t="s">
        <v>1508</v>
      </c>
    </row>
    <row r="127">
      <c r="A127" s="0" t="s">
        <v>28</v>
      </c>
      <c r="B127" s="0" t="s">
        <v>30</v>
      </c>
      <c r="C127" s="0" t="s">
        <v>164</v>
      </c>
      <c r="D127" s="0" t="s">
        <v>1285</v>
      </c>
      <c r="E127" s="0" t="s">
        <v>976</v>
      </c>
      <c r="F127" s="0" t="b">
        <v>0</v>
      </c>
      <c r="G127" s="0" t="s">
        <v>114</v>
      </c>
      <c r="H127" s="0">
        <v>12</v>
      </c>
      <c r="I127" s="0">
        <v>36</v>
      </c>
      <c r="J127" s="0">
        <v>199</v>
      </c>
      <c r="K127" s="1">
        <f>=HYPERLINK("10.175.1.14\MWEB.12\SEP\EntityDetails.10.175.1.14.MWEB.12.-connect-WEB.199.xlsx", "&lt;Detail&gt;")</f>
      </c>
      <c r="L127" s="1">
        <f>=HYPERLINK("10.175.1.14\MWEB.12\SEP\MetricGraphs.SEP.10.175.1.14.MWEB.12.xlsx", "&lt;Metrics&gt;")</f>
      </c>
      <c r="M127" s="0" t="s">
        <v>101</v>
      </c>
      <c r="N127" s="0" t="s">
        <v>145</v>
      </c>
      <c r="O127" s="0" t="s">
        <v>165</v>
      </c>
      <c r="P127" s="0" t="s">
        <v>1509</v>
      </c>
    </row>
    <row r="128">
      <c r="A128" s="0" t="s">
        <v>28</v>
      </c>
      <c r="B128" s="0" t="s">
        <v>30</v>
      </c>
      <c r="C128" s="0" t="s">
        <v>164</v>
      </c>
      <c r="D128" s="0" t="s">
        <v>1360</v>
      </c>
      <c r="E128" s="0" t="s">
        <v>976</v>
      </c>
      <c r="F128" s="0" t="b">
        <v>0</v>
      </c>
      <c r="G128" s="0" t="s">
        <v>114</v>
      </c>
      <c r="H128" s="0">
        <v>12</v>
      </c>
      <c r="I128" s="0">
        <v>36</v>
      </c>
      <c r="J128" s="0">
        <v>1242</v>
      </c>
      <c r="K128" s="1">
        <f>=HYPERLINK("10.175.1.14\MWEB.12\SEP\EntityDetails.10.175.1.14.MWEB.12.-CSCOnm-serv.1242.xlsx", "&lt;Detail&gt;")</f>
      </c>
      <c r="L128" s="1">
        <f>=HYPERLINK("10.175.1.14\MWEB.12\SEP\MetricGraphs.SEP.10.175.1.14.MWEB.12.xlsx", "&lt;Metrics&gt;")</f>
      </c>
      <c r="M128" s="0" t="s">
        <v>101</v>
      </c>
      <c r="N128" s="0" t="s">
        <v>145</v>
      </c>
      <c r="O128" s="0" t="s">
        <v>165</v>
      </c>
      <c r="P128" s="0" t="s">
        <v>1510</v>
      </c>
    </row>
    <row r="129">
      <c r="A129" s="0" t="s">
        <v>28</v>
      </c>
      <c r="B129" s="0" t="s">
        <v>30</v>
      </c>
      <c r="C129" s="0" t="s">
        <v>164</v>
      </c>
      <c r="D129" s="0" t="s">
        <v>982</v>
      </c>
      <c r="E129" s="0" t="s">
        <v>976</v>
      </c>
      <c r="F129" s="0" t="b">
        <v>0</v>
      </c>
      <c r="G129" s="0" t="s">
        <v>114</v>
      </c>
      <c r="H129" s="0">
        <v>12</v>
      </c>
      <c r="I129" s="0">
        <v>36</v>
      </c>
      <c r="J129" s="0">
        <v>1222</v>
      </c>
      <c r="K129" s="1">
        <f>=HYPERLINK("10.175.1.14\MWEB.12\SEP\EntityDetails.10.175.1.14.MWEB.12.-dms2-Login..1222.xlsx", "&lt;Detail&gt;")</f>
      </c>
      <c r="L129" s="1">
        <f>=HYPERLINK("10.175.1.14\MWEB.12\SEP\MetricGraphs.SEP.10.175.1.14.MWEB.12.xlsx", "&lt;Metrics&gt;")</f>
      </c>
      <c r="M129" s="0" t="s">
        <v>101</v>
      </c>
      <c r="N129" s="0" t="s">
        <v>145</v>
      </c>
      <c r="O129" s="0" t="s">
        <v>165</v>
      </c>
      <c r="P129" s="0" t="s">
        <v>1511</v>
      </c>
    </row>
    <row r="130">
      <c r="A130" s="0" t="s">
        <v>28</v>
      </c>
      <c r="B130" s="0" t="s">
        <v>30</v>
      </c>
      <c r="C130" s="0" t="s">
        <v>164</v>
      </c>
      <c r="D130" s="0" t="s">
        <v>1512</v>
      </c>
      <c r="E130" s="0" t="s">
        <v>976</v>
      </c>
      <c r="F130" s="0" t="b">
        <v>0</v>
      </c>
      <c r="G130" s="0" t="s">
        <v>114</v>
      </c>
      <c r="H130" s="0">
        <v>12</v>
      </c>
      <c r="I130" s="0">
        <v>36</v>
      </c>
      <c r="J130" s="0">
        <v>1250</v>
      </c>
      <c r="K130" s="1">
        <f>=HYPERLINK("10.175.1.14\MWEB.12\SEP\EntityDetails.10.175.1.14.MWEB.12.-dswsbobje-a.1250.xlsx", "&lt;Detail&gt;")</f>
      </c>
      <c r="L130" s="1">
        <f>=HYPERLINK("10.175.1.14\MWEB.12\SEP\MetricGraphs.SEP.10.175.1.14.MWEB.12.xlsx", "&lt;Metrics&gt;")</f>
      </c>
      <c r="M130" s="0" t="s">
        <v>101</v>
      </c>
      <c r="N130" s="0" t="s">
        <v>145</v>
      </c>
      <c r="O130" s="0" t="s">
        <v>165</v>
      </c>
      <c r="P130" s="0" t="s">
        <v>1513</v>
      </c>
    </row>
    <row r="131">
      <c r="A131" s="0" t="s">
        <v>28</v>
      </c>
      <c r="B131" s="0" t="s">
        <v>30</v>
      </c>
      <c r="C131" s="0" t="s">
        <v>164</v>
      </c>
      <c r="D131" s="0" t="s">
        <v>984</v>
      </c>
      <c r="E131" s="0" t="s">
        <v>976</v>
      </c>
      <c r="F131" s="0" t="b">
        <v>0</v>
      </c>
      <c r="G131" s="0" t="s">
        <v>114</v>
      </c>
      <c r="H131" s="0">
        <v>12</v>
      </c>
      <c r="I131" s="0">
        <v>36</v>
      </c>
      <c r="J131" s="0">
        <v>174</v>
      </c>
      <c r="K131" s="1">
        <f>=HYPERLINK("10.175.1.14\MWEB.12\SEP\EntityDetails.10.175.1.14.MWEB.12.-HealthMonit.174.xlsx", "&lt;Detail&gt;")</f>
      </c>
      <c r="L131" s="1">
        <f>=HYPERLINK("10.175.1.14\MWEB.12\SEP\MetricGraphs.SEP.10.175.1.14.MWEB.12.xlsx", "&lt;Metrics&gt;")</f>
      </c>
      <c r="M131" s="0" t="s">
        <v>101</v>
      </c>
      <c r="N131" s="0" t="s">
        <v>145</v>
      </c>
      <c r="O131" s="0" t="s">
        <v>165</v>
      </c>
      <c r="P131" s="0" t="s">
        <v>1514</v>
      </c>
    </row>
    <row r="132">
      <c r="A132" s="0" t="s">
        <v>28</v>
      </c>
      <c r="B132" s="0" t="s">
        <v>30</v>
      </c>
      <c r="C132" s="0" t="s">
        <v>164</v>
      </c>
      <c r="D132" s="0" t="s">
        <v>1366</v>
      </c>
      <c r="E132" s="0" t="s">
        <v>976</v>
      </c>
      <c r="F132" s="0" t="b">
        <v>0</v>
      </c>
      <c r="G132" s="0" t="s">
        <v>114</v>
      </c>
      <c r="H132" s="0">
        <v>12</v>
      </c>
      <c r="I132" s="0">
        <v>36</v>
      </c>
      <c r="J132" s="0">
        <v>421</v>
      </c>
      <c r="K132" s="1">
        <f>=HYPERLINK("10.175.1.14\MWEB.12\SEP\EntityDetails.10.175.1.14.MWEB.12.-if-CGI_get_.421.xlsx", "&lt;Detail&gt;")</f>
      </c>
      <c r="L132" s="1">
        <f>=HYPERLINK("10.175.1.14\MWEB.12\SEP\MetricGraphs.SEP.10.175.1.14.MWEB.12.xlsx", "&lt;Metrics&gt;")</f>
      </c>
      <c r="M132" s="0" t="s">
        <v>101</v>
      </c>
      <c r="N132" s="0" t="s">
        <v>145</v>
      </c>
      <c r="O132" s="0" t="s">
        <v>165</v>
      </c>
      <c r="P132" s="0" t="s">
        <v>1515</v>
      </c>
    </row>
    <row r="133">
      <c r="A133" s="0" t="s">
        <v>28</v>
      </c>
      <c r="B133" s="0" t="s">
        <v>30</v>
      </c>
      <c r="C133" s="0" t="s">
        <v>164</v>
      </c>
      <c r="D133" s="0" t="s">
        <v>1516</v>
      </c>
      <c r="E133" s="0" t="s">
        <v>976</v>
      </c>
      <c r="F133" s="0" t="b">
        <v>0</v>
      </c>
      <c r="G133" s="0" t="s">
        <v>114</v>
      </c>
      <c r="H133" s="0">
        <v>12</v>
      </c>
      <c r="I133" s="0">
        <v>36</v>
      </c>
      <c r="J133" s="0">
        <v>1248</v>
      </c>
      <c r="K133" s="1">
        <f>=HYPERLINK("10.175.1.14\MWEB.12\SEP\EntityDetails.10.175.1.14.MWEB.12.-imcws-axis2.1248.xlsx", "&lt;Detail&gt;")</f>
      </c>
      <c r="L133" s="1">
        <f>=HYPERLINK("10.175.1.14\MWEB.12\SEP\MetricGraphs.SEP.10.175.1.14.MWEB.12.xlsx", "&lt;Metrics&gt;")</f>
      </c>
      <c r="M133" s="0" t="s">
        <v>101</v>
      </c>
      <c r="N133" s="0" t="s">
        <v>145</v>
      </c>
      <c r="O133" s="0" t="s">
        <v>165</v>
      </c>
      <c r="P133" s="0" t="s">
        <v>1517</v>
      </c>
    </row>
    <row r="134">
      <c r="A134" s="0" t="s">
        <v>28</v>
      </c>
      <c r="B134" s="0" t="s">
        <v>30</v>
      </c>
      <c r="C134" s="0" t="s">
        <v>164</v>
      </c>
      <c r="D134" s="0" t="s">
        <v>1368</v>
      </c>
      <c r="E134" s="0" t="s">
        <v>976</v>
      </c>
      <c r="F134" s="0" t="b">
        <v>0</v>
      </c>
      <c r="G134" s="0" t="s">
        <v>114</v>
      </c>
      <c r="H134" s="0">
        <v>12</v>
      </c>
      <c r="I134" s="0">
        <v>36</v>
      </c>
      <c r="J134" s="0">
        <v>1229</v>
      </c>
      <c r="K134" s="1">
        <f>=HYPERLINK("10.175.1.14\MWEB.12\SEP\EntityDetails.10.175.1.14.MWEB.12.-index.jsp.1229.xlsx", "&lt;Detail&gt;")</f>
      </c>
      <c r="L134" s="1">
        <f>=HYPERLINK("10.175.1.14\MWEB.12\SEP\MetricGraphs.SEP.10.175.1.14.MWEB.12.xlsx", "&lt;Metrics&gt;")</f>
      </c>
      <c r="M134" s="0" t="s">
        <v>101</v>
      </c>
      <c r="N134" s="0" t="s">
        <v>145</v>
      </c>
      <c r="O134" s="0" t="s">
        <v>165</v>
      </c>
      <c r="P134" s="0" t="s">
        <v>1518</v>
      </c>
    </row>
    <row r="135">
      <c r="A135" s="0" t="s">
        <v>28</v>
      </c>
      <c r="B135" s="0" t="s">
        <v>30</v>
      </c>
      <c r="C135" s="0" t="s">
        <v>164</v>
      </c>
      <c r="D135" s="0" t="s">
        <v>1020</v>
      </c>
      <c r="E135" s="0" t="s">
        <v>976</v>
      </c>
      <c r="F135" s="0" t="b">
        <v>0</v>
      </c>
      <c r="G135" s="0" t="s">
        <v>114</v>
      </c>
      <c r="H135" s="0">
        <v>12</v>
      </c>
      <c r="I135" s="0">
        <v>36</v>
      </c>
      <c r="J135" s="0">
        <v>1224</v>
      </c>
      <c r="K135" s="1">
        <f>=HYPERLINK("10.175.1.14\MWEB.12\SEP\EntityDetails.10.175.1.14.MWEB.12.-intruvert-j.1224.xlsx", "&lt;Detail&gt;")</f>
      </c>
      <c r="L135" s="1">
        <f>=HYPERLINK("10.175.1.14\MWEB.12\SEP\MetricGraphs.SEP.10.175.1.14.MWEB.12.xlsx", "&lt;Metrics&gt;")</f>
      </c>
      <c r="M135" s="0" t="s">
        <v>101</v>
      </c>
      <c r="N135" s="0" t="s">
        <v>145</v>
      </c>
      <c r="O135" s="0" t="s">
        <v>165</v>
      </c>
      <c r="P135" s="0" t="s">
        <v>1519</v>
      </c>
    </row>
    <row r="136">
      <c r="A136" s="0" t="s">
        <v>28</v>
      </c>
      <c r="B136" s="0" t="s">
        <v>30</v>
      </c>
      <c r="C136" s="0" t="s">
        <v>164</v>
      </c>
      <c r="D136" s="0" t="s">
        <v>1022</v>
      </c>
      <c r="E136" s="0" t="s">
        <v>976</v>
      </c>
      <c r="F136" s="0" t="b">
        <v>0</v>
      </c>
      <c r="G136" s="0" t="s">
        <v>114</v>
      </c>
      <c r="H136" s="0">
        <v>12</v>
      </c>
      <c r="I136" s="0">
        <v>36</v>
      </c>
      <c r="J136" s="0">
        <v>401</v>
      </c>
      <c r="K136" s="1">
        <f>=HYPERLINK("10.175.1.14\MWEB.12\SEP\EntityDetails.10.175.1.14.MWEB.12.-IPJSETTLEME.401.xlsx", "&lt;Detail&gt;")</f>
      </c>
      <c r="L136" s="1">
        <f>=HYPERLINK("10.175.1.14\MWEB.12\SEP\MetricGraphs.SEP.10.175.1.14.MWEB.12.xlsx", "&lt;Metrics&gt;")</f>
      </c>
      <c r="M136" s="0" t="s">
        <v>101</v>
      </c>
      <c r="N136" s="0" t="s">
        <v>145</v>
      </c>
      <c r="O136" s="0" t="s">
        <v>165</v>
      </c>
      <c r="P136" s="0" t="s">
        <v>1520</v>
      </c>
    </row>
    <row r="137">
      <c r="A137" s="0" t="s">
        <v>28</v>
      </c>
      <c r="B137" s="0" t="s">
        <v>30</v>
      </c>
      <c r="C137" s="0" t="s">
        <v>164</v>
      </c>
      <c r="D137" s="0" t="s">
        <v>1024</v>
      </c>
      <c r="E137" s="0" t="s">
        <v>976</v>
      </c>
      <c r="F137" s="0" t="b">
        <v>0</v>
      </c>
      <c r="G137" s="0" t="s">
        <v>114</v>
      </c>
      <c r="H137" s="0">
        <v>12</v>
      </c>
      <c r="I137" s="0">
        <v>36</v>
      </c>
      <c r="J137" s="0">
        <v>397</v>
      </c>
      <c r="K137" s="1">
        <f>=HYPERLINK("10.175.1.14\MWEB.12\SEP\EntityDetails.10.175.1.14.MWEB.12.-JConnect-ac.397.xlsx", "&lt;Detail&gt;")</f>
      </c>
      <c r="L137" s="1">
        <f>=HYPERLINK("10.175.1.14\MWEB.12\SEP\MetricGraphs.SEP.10.175.1.14.MWEB.12.xlsx", "&lt;Metrics&gt;")</f>
      </c>
      <c r="M137" s="0" t="s">
        <v>101</v>
      </c>
      <c r="N137" s="0" t="s">
        <v>145</v>
      </c>
      <c r="O137" s="0" t="s">
        <v>165</v>
      </c>
      <c r="P137" s="0" t="s">
        <v>1521</v>
      </c>
    </row>
    <row r="138">
      <c r="A138" s="0" t="s">
        <v>28</v>
      </c>
      <c r="B138" s="0" t="s">
        <v>30</v>
      </c>
      <c r="C138" s="0" t="s">
        <v>164</v>
      </c>
      <c r="D138" s="0" t="s">
        <v>1396</v>
      </c>
      <c r="E138" s="0" t="s">
        <v>976</v>
      </c>
      <c r="F138" s="0" t="b">
        <v>0</v>
      </c>
      <c r="G138" s="0" t="s">
        <v>114</v>
      </c>
      <c r="H138" s="0">
        <v>12</v>
      </c>
      <c r="I138" s="0">
        <v>36</v>
      </c>
      <c r="J138" s="0">
        <v>1239</v>
      </c>
      <c r="K138" s="1">
        <f>=HYPERLINK("10.175.1.14\MWEB.12\SEP\EntityDetails.10.175.1.14.MWEB.12.-login.jsp.1239.xlsx", "&lt;Detail&gt;")</f>
      </c>
      <c r="L138" s="1">
        <f>=HYPERLINK("10.175.1.14\MWEB.12\SEP\MetricGraphs.SEP.10.175.1.14.MWEB.12.xlsx", "&lt;Metrics&gt;")</f>
      </c>
      <c r="M138" s="0" t="s">
        <v>101</v>
      </c>
      <c r="N138" s="0" t="s">
        <v>145</v>
      </c>
      <c r="O138" s="0" t="s">
        <v>165</v>
      </c>
      <c r="P138" s="0" t="s">
        <v>1522</v>
      </c>
    </row>
    <row r="139">
      <c r="A139" s="0" t="s">
        <v>28</v>
      </c>
      <c r="B139" s="0" t="s">
        <v>30</v>
      </c>
      <c r="C139" s="0" t="s">
        <v>164</v>
      </c>
      <c r="D139" s="0" t="s">
        <v>1398</v>
      </c>
      <c r="E139" s="0" t="s">
        <v>976</v>
      </c>
      <c r="F139" s="0" t="b">
        <v>0</v>
      </c>
      <c r="G139" s="0" t="s">
        <v>114</v>
      </c>
      <c r="H139" s="0">
        <v>12</v>
      </c>
      <c r="I139" s="0">
        <v>36</v>
      </c>
      <c r="J139" s="0">
        <v>1243</v>
      </c>
      <c r="K139" s="1">
        <f>=HYPERLINK("10.175.1.14\MWEB.12\SEP\EntityDetails.10.175.1.14.MWEB.12.-logon.jsp.1243.xlsx", "&lt;Detail&gt;")</f>
      </c>
      <c r="L139" s="1">
        <f>=HYPERLINK("10.175.1.14\MWEB.12\SEP\MetricGraphs.SEP.10.175.1.14.MWEB.12.xlsx", "&lt;Metrics&gt;")</f>
      </c>
      <c r="M139" s="0" t="s">
        <v>101</v>
      </c>
      <c r="N139" s="0" t="s">
        <v>145</v>
      </c>
      <c r="O139" s="0" t="s">
        <v>165</v>
      </c>
      <c r="P139" s="0" t="s">
        <v>1523</v>
      </c>
    </row>
    <row r="140">
      <c r="A140" s="0" t="s">
        <v>28</v>
      </c>
      <c r="B140" s="0" t="s">
        <v>30</v>
      </c>
      <c r="C140" s="0" t="s">
        <v>164</v>
      </c>
      <c r="D140" s="0" t="s">
        <v>1026</v>
      </c>
      <c r="E140" s="0" t="s">
        <v>976</v>
      </c>
      <c r="F140" s="0" t="b">
        <v>0</v>
      </c>
      <c r="G140" s="0" t="s">
        <v>114</v>
      </c>
      <c r="H140" s="0">
        <v>12</v>
      </c>
      <c r="I140" s="0">
        <v>36</v>
      </c>
      <c r="J140" s="0">
        <v>153</v>
      </c>
      <c r="K140" s="1">
        <f>=HYPERLINK("10.175.1.14\MWEB.12\SEP\EntityDetails.10.175.1.14.MWEB.12.-management-.153.xlsx", "&lt;Detail&gt;")</f>
      </c>
      <c r="L140" s="1">
        <f>=HYPERLINK("10.175.1.14\MWEB.12\SEP\MetricGraphs.SEP.10.175.1.14.MWEB.12.xlsx", "&lt;Metrics&gt;")</f>
      </c>
      <c r="M140" s="0" t="s">
        <v>101</v>
      </c>
      <c r="N140" s="0" t="s">
        <v>145</v>
      </c>
      <c r="O140" s="0" t="s">
        <v>165</v>
      </c>
      <c r="P140" s="0" t="s">
        <v>1524</v>
      </c>
    </row>
    <row r="141">
      <c r="A141" s="0" t="s">
        <v>28</v>
      </c>
      <c r="B141" s="0" t="s">
        <v>30</v>
      </c>
      <c r="C141" s="0" t="s">
        <v>164</v>
      </c>
      <c r="D141" s="0" t="s">
        <v>1099</v>
      </c>
      <c r="E141" s="0" t="s">
        <v>976</v>
      </c>
      <c r="F141" s="0" t="b">
        <v>0</v>
      </c>
      <c r="G141" s="0" t="s">
        <v>114</v>
      </c>
      <c r="H141" s="0">
        <v>12</v>
      </c>
      <c r="I141" s="0">
        <v>36</v>
      </c>
      <c r="J141" s="0">
        <v>206</v>
      </c>
      <c r="K141" s="1">
        <f>=HYPERLINK("10.175.1.14\MWEB.12\SEP\EntityDetails.10.175.1.14.MWEB.12.-master-mana.206.xlsx", "&lt;Detail&gt;")</f>
      </c>
      <c r="L141" s="1">
        <f>=HYPERLINK("10.175.1.14\MWEB.12\SEP\MetricGraphs.SEP.10.175.1.14.MWEB.12.xlsx", "&lt;Metrics&gt;")</f>
      </c>
      <c r="M141" s="0" t="s">
        <v>101</v>
      </c>
      <c r="N141" s="0" t="s">
        <v>145</v>
      </c>
      <c r="O141" s="0" t="s">
        <v>165</v>
      </c>
      <c r="P141" s="0" t="s">
        <v>1525</v>
      </c>
    </row>
    <row r="142">
      <c r="A142" s="0" t="s">
        <v>28</v>
      </c>
      <c r="B142" s="0" t="s">
        <v>30</v>
      </c>
      <c r="C142" s="0" t="s">
        <v>164</v>
      </c>
      <c r="D142" s="0" t="s">
        <v>1526</v>
      </c>
      <c r="E142" s="0" t="s">
        <v>976</v>
      </c>
      <c r="F142" s="0" t="b">
        <v>0</v>
      </c>
      <c r="G142" s="0" t="s">
        <v>114</v>
      </c>
      <c r="H142" s="0">
        <v>12</v>
      </c>
      <c r="I142" s="0">
        <v>36</v>
      </c>
      <c r="J142" s="0">
        <v>205</v>
      </c>
      <c r="K142" s="1">
        <f>=HYPERLINK("10.175.1.14\MWEB.12\SEP\EntityDetails.10.175.1.14.MWEB.12.-master-WEB-.205.xlsx", "&lt;Detail&gt;")</f>
      </c>
      <c r="L142" s="1">
        <f>=HYPERLINK("10.175.1.14\MWEB.12\SEP\MetricGraphs.SEP.10.175.1.14.MWEB.12.xlsx", "&lt;Metrics&gt;")</f>
      </c>
      <c r="M142" s="0" t="s">
        <v>101</v>
      </c>
      <c r="N142" s="0" t="s">
        <v>145</v>
      </c>
      <c r="O142" s="0" t="s">
        <v>165</v>
      </c>
      <c r="P142" s="0" t="s">
        <v>1527</v>
      </c>
    </row>
    <row r="143">
      <c r="A143" s="0" t="s">
        <v>28</v>
      </c>
      <c r="B143" s="0" t="s">
        <v>30</v>
      </c>
      <c r="C143" s="0" t="s">
        <v>164</v>
      </c>
      <c r="D143" s="0" t="s">
        <v>1403</v>
      </c>
      <c r="E143" s="0" t="s">
        <v>976</v>
      </c>
      <c r="F143" s="0" t="b">
        <v>0</v>
      </c>
      <c r="G143" s="0" t="s">
        <v>114</v>
      </c>
      <c r="H143" s="0">
        <v>12</v>
      </c>
      <c r="I143" s="0">
        <v>36</v>
      </c>
      <c r="J143" s="0">
        <v>455</v>
      </c>
      <c r="K143" s="1">
        <f>=HYPERLINK("10.175.1.14\MWEB.12\SEP\EntityDetails.10.175.1.14.MWEB.12.-OEM-CGI_ous.455.xlsx", "&lt;Detail&gt;")</f>
      </c>
      <c r="L143" s="1">
        <f>=HYPERLINK("10.175.1.14\MWEB.12\SEP\MetricGraphs.SEP.10.175.1.14.MWEB.12.xlsx", "&lt;Metrics&gt;")</f>
      </c>
      <c r="M143" s="0" t="s">
        <v>101</v>
      </c>
      <c r="N143" s="0" t="s">
        <v>145</v>
      </c>
      <c r="O143" s="0" t="s">
        <v>165</v>
      </c>
      <c r="P143" s="0" t="s">
        <v>1528</v>
      </c>
    </row>
    <row r="144">
      <c r="A144" s="0" t="s">
        <v>28</v>
      </c>
      <c r="B144" s="0" t="s">
        <v>30</v>
      </c>
      <c r="C144" s="0" t="s">
        <v>164</v>
      </c>
      <c r="D144" s="0" t="s">
        <v>1101</v>
      </c>
      <c r="E144" s="0" t="s">
        <v>976</v>
      </c>
      <c r="F144" s="0" t="b">
        <v>0</v>
      </c>
      <c r="G144" s="0" t="s">
        <v>114</v>
      </c>
      <c r="H144" s="0">
        <v>12</v>
      </c>
      <c r="I144" s="0">
        <v>36</v>
      </c>
      <c r="J144" s="0">
        <v>159</v>
      </c>
      <c r="K144" s="1">
        <f>=HYPERLINK("10.175.1.14\MWEB.12\SEP\EntityDetails.10.175.1.14.MWEB.12.-ondelay-odc.159.xlsx", "&lt;Detail&gt;")</f>
      </c>
      <c r="L144" s="1">
        <f>=HYPERLINK("10.175.1.14\MWEB.12\SEP\MetricGraphs.SEP.10.175.1.14.MWEB.12.xlsx", "&lt;Metrics&gt;")</f>
      </c>
      <c r="M144" s="0" t="s">
        <v>101</v>
      </c>
      <c r="N144" s="0" t="s">
        <v>145</v>
      </c>
      <c r="O144" s="0" t="s">
        <v>165</v>
      </c>
      <c r="P144" s="0" t="s">
        <v>1529</v>
      </c>
    </row>
    <row r="145">
      <c r="A145" s="0" t="s">
        <v>28</v>
      </c>
      <c r="B145" s="0" t="s">
        <v>30</v>
      </c>
      <c r="C145" s="0" t="s">
        <v>164</v>
      </c>
      <c r="D145" s="0" t="s">
        <v>1103</v>
      </c>
      <c r="E145" s="0" t="s">
        <v>976</v>
      </c>
      <c r="F145" s="0" t="b">
        <v>0</v>
      </c>
      <c r="G145" s="0" t="s">
        <v>114</v>
      </c>
      <c r="H145" s="0">
        <v>12</v>
      </c>
      <c r="I145" s="0">
        <v>36</v>
      </c>
      <c r="J145" s="0">
        <v>659</v>
      </c>
      <c r="K145" s="1">
        <f>=HYPERLINK("10.175.1.14\MWEB.12\SEP\EntityDetails.10.175.1.14.MWEB.12.-remote-arti.659.xlsx", "&lt;Detail&gt;")</f>
      </c>
      <c r="L145" s="1">
        <f>=HYPERLINK("10.175.1.14\MWEB.12\SEP\MetricGraphs.SEP.10.175.1.14.MWEB.12.xlsx", "&lt;Metrics&gt;")</f>
      </c>
      <c r="M145" s="0" t="s">
        <v>101</v>
      </c>
      <c r="N145" s="0" t="s">
        <v>145</v>
      </c>
      <c r="O145" s="0" t="s">
        <v>165</v>
      </c>
      <c r="P145" s="0" t="s">
        <v>1530</v>
      </c>
    </row>
    <row r="146">
      <c r="A146" s="0" t="s">
        <v>28</v>
      </c>
      <c r="B146" s="0" t="s">
        <v>30</v>
      </c>
      <c r="C146" s="0" t="s">
        <v>164</v>
      </c>
      <c r="D146" s="0" t="s">
        <v>1105</v>
      </c>
      <c r="E146" s="0" t="s">
        <v>976</v>
      </c>
      <c r="F146" s="0" t="b">
        <v>0</v>
      </c>
      <c r="G146" s="0" t="s">
        <v>114</v>
      </c>
      <c r="H146" s="0">
        <v>12</v>
      </c>
      <c r="I146" s="0">
        <v>36</v>
      </c>
      <c r="J146" s="0">
        <v>669</v>
      </c>
      <c r="K146" s="1">
        <f>=HYPERLINK("10.175.1.14\MWEB.12\SEP\EntityDetails.10.175.1.14.MWEB.12.-remote-arti.669.xlsx", "&lt;Detail&gt;")</f>
      </c>
      <c r="L146" s="1">
        <f>=HYPERLINK("10.175.1.14\MWEB.12\SEP\MetricGraphs.SEP.10.175.1.14.MWEB.12.xlsx", "&lt;Metrics&gt;")</f>
      </c>
      <c r="M146" s="0" t="s">
        <v>101</v>
      </c>
      <c r="N146" s="0" t="s">
        <v>145</v>
      </c>
      <c r="O146" s="0" t="s">
        <v>165</v>
      </c>
      <c r="P146" s="0" t="s">
        <v>1531</v>
      </c>
    </row>
    <row r="147">
      <c r="A147" s="0" t="s">
        <v>28</v>
      </c>
      <c r="B147" s="0" t="s">
        <v>30</v>
      </c>
      <c r="C147" s="0" t="s">
        <v>164</v>
      </c>
      <c r="D147" s="0" t="s">
        <v>1107</v>
      </c>
      <c r="E147" s="0" t="s">
        <v>976</v>
      </c>
      <c r="F147" s="0" t="b">
        <v>0</v>
      </c>
      <c r="G147" s="0" t="s">
        <v>114</v>
      </c>
      <c r="H147" s="0">
        <v>12</v>
      </c>
      <c r="I147" s="0">
        <v>36</v>
      </c>
      <c r="J147" s="0">
        <v>668</v>
      </c>
      <c r="K147" s="1">
        <f>=HYPERLINK("10.175.1.14\MWEB.12\SEP\EntityDetails.10.175.1.14.MWEB.12.-remote-back.668.xlsx", "&lt;Detail&gt;")</f>
      </c>
      <c r="L147" s="1">
        <f>=HYPERLINK("10.175.1.14\MWEB.12\SEP\MetricGraphs.SEP.10.175.1.14.MWEB.12.xlsx", "&lt;Metrics&gt;")</f>
      </c>
      <c r="M147" s="0" t="s">
        <v>101</v>
      </c>
      <c r="N147" s="0" t="s">
        <v>145</v>
      </c>
      <c r="O147" s="0" t="s">
        <v>165</v>
      </c>
      <c r="P147" s="0" t="s">
        <v>1532</v>
      </c>
    </row>
    <row r="148">
      <c r="A148" s="0" t="s">
        <v>28</v>
      </c>
      <c r="B148" s="0" t="s">
        <v>30</v>
      </c>
      <c r="C148" s="0" t="s">
        <v>164</v>
      </c>
      <c r="D148" s="0" t="s">
        <v>1109</v>
      </c>
      <c r="E148" s="0" t="s">
        <v>976</v>
      </c>
      <c r="F148" s="0" t="b">
        <v>0</v>
      </c>
      <c r="G148" s="0" t="s">
        <v>114</v>
      </c>
      <c r="H148" s="0">
        <v>12</v>
      </c>
      <c r="I148" s="0">
        <v>36</v>
      </c>
      <c r="J148" s="0">
        <v>671</v>
      </c>
      <c r="K148" s="1">
        <f>=HYPERLINK("10.175.1.14\MWEB.12\SEP\EntityDetails.10.175.1.14.MWEB.12.-remote-down.671.xlsx", "&lt;Detail&gt;")</f>
      </c>
      <c r="L148" s="1">
        <f>=HYPERLINK("10.175.1.14\MWEB.12\SEP\MetricGraphs.SEP.10.175.1.14.MWEB.12.xlsx", "&lt;Metrics&gt;")</f>
      </c>
      <c r="M148" s="0" t="s">
        <v>101</v>
      </c>
      <c r="N148" s="0" t="s">
        <v>145</v>
      </c>
      <c r="O148" s="0" t="s">
        <v>165</v>
      </c>
      <c r="P148" s="0" t="s">
        <v>1533</v>
      </c>
    </row>
    <row r="149">
      <c r="A149" s="0" t="s">
        <v>28</v>
      </c>
      <c r="B149" s="0" t="s">
        <v>30</v>
      </c>
      <c r="C149" s="0" t="s">
        <v>164</v>
      </c>
      <c r="D149" s="0" t="s">
        <v>1111</v>
      </c>
      <c r="E149" s="0" t="s">
        <v>976</v>
      </c>
      <c r="F149" s="0" t="b">
        <v>0</v>
      </c>
      <c r="G149" s="0" t="s">
        <v>114</v>
      </c>
      <c r="H149" s="0">
        <v>12</v>
      </c>
      <c r="I149" s="0">
        <v>36</v>
      </c>
      <c r="J149" s="0">
        <v>678</v>
      </c>
      <c r="K149" s="1">
        <f>=HYPERLINK("10.175.1.14\MWEB.12\SEP\EntityDetails.10.175.1.14.MWEB.12.-remote-erro.678.xlsx", "&lt;Detail&gt;")</f>
      </c>
      <c r="L149" s="1">
        <f>=HYPERLINK("10.175.1.14\MWEB.12\SEP\MetricGraphs.SEP.10.175.1.14.MWEB.12.xlsx", "&lt;Metrics&gt;")</f>
      </c>
      <c r="M149" s="0" t="s">
        <v>101</v>
      </c>
      <c r="N149" s="0" t="s">
        <v>145</v>
      </c>
      <c r="O149" s="0" t="s">
        <v>165</v>
      </c>
      <c r="P149" s="0" t="s">
        <v>1534</v>
      </c>
    </row>
    <row r="150">
      <c r="A150" s="0" t="s">
        <v>28</v>
      </c>
      <c r="B150" s="0" t="s">
        <v>30</v>
      </c>
      <c r="C150" s="0" t="s">
        <v>164</v>
      </c>
      <c r="D150" s="0" t="s">
        <v>1113</v>
      </c>
      <c r="E150" s="0" t="s">
        <v>976</v>
      </c>
      <c r="F150" s="0" t="b">
        <v>0</v>
      </c>
      <c r="G150" s="0" t="s">
        <v>114</v>
      </c>
      <c r="H150" s="0">
        <v>12</v>
      </c>
      <c r="I150" s="0">
        <v>36</v>
      </c>
      <c r="J150" s="0">
        <v>676</v>
      </c>
      <c r="K150" s="1">
        <f>=HYPERLINK("10.175.1.14\MWEB.12\SEP\EntityDetails.10.175.1.14.MWEB.12.-remote-erro.676.xlsx", "&lt;Detail&gt;")</f>
      </c>
      <c r="L150" s="1">
        <f>=HYPERLINK("10.175.1.14\MWEB.12\SEP\MetricGraphs.SEP.10.175.1.14.MWEB.12.xlsx", "&lt;Metrics&gt;")</f>
      </c>
      <c r="M150" s="0" t="s">
        <v>101</v>
      </c>
      <c r="N150" s="0" t="s">
        <v>145</v>
      </c>
      <c r="O150" s="0" t="s">
        <v>165</v>
      </c>
      <c r="P150" s="0" t="s">
        <v>1535</v>
      </c>
    </row>
    <row r="151">
      <c r="A151" s="0" t="s">
        <v>28</v>
      </c>
      <c r="B151" s="0" t="s">
        <v>30</v>
      </c>
      <c r="C151" s="0" t="s">
        <v>164</v>
      </c>
      <c r="D151" s="0" t="s">
        <v>1115</v>
      </c>
      <c r="E151" s="0" t="s">
        <v>976</v>
      </c>
      <c r="F151" s="0" t="b">
        <v>0</v>
      </c>
      <c r="G151" s="0" t="s">
        <v>114</v>
      </c>
      <c r="H151" s="0">
        <v>12</v>
      </c>
      <c r="I151" s="0">
        <v>36</v>
      </c>
      <c r="J151" s="0">
        <v>677</v>
      </c>
      <c r="K151" s="1">
        <f>=HYPERLINK("10.175.1.14\MWEB.12\SEP\EntityDetails.10.175.1.14.MWEB.12.-remote-erro.677.xlsx", "&lt;Detail&gt;")</f>
      </c>
      <c r="L151" s="1">
        <f>=HYPERLINK("10.175.1.14\MWEB.12\SEP\MetricGraphs.SEP.10.175.1.14.MWEB.12.xlsx", "&lt;Metrics&gt;")</f>
      </c>
      <c r="M151" s="0" t="s">
        <v>101</v>
      </c>
      <c r="N151" s="0" t="s">
        <v>145</v>
      </c>
      <c r="O151" s="0" t="s">
        <v>165</v>
      </c>
      <c r="P151" s="0" t="s">
        <v>1536</v>
      </c>
    </row>
    <row r="152">
      <c r="A152" s="0" t="s">
        <v>28</v>
      </c>
      <c r="B152" s="0" t="s">
        <v>30</v>
      </c>
      <c r="C152" s="0" t="s">
        <v>164</v>
      </c>
      <c r="D152" s="0" t="s">
        <v>1117</v>
      </c>
      <c r="E152" s="0" t="s">
        <v>976</v>
      </c>
      <c r="F152" s="0" t="b">
        <v>0</v>
      </c>
      <c r="G152" s="0" t="s">
        <v>114</v>
      </c>
      <c r="H152" s="0">
        <v>12</v>
      </c>
      <c r="I152" s="0">
        <v>36</v>
      </c>
      <c r="J152" s="0">
        <v>479</v>
      </c>
      <c r="K152" s="1">
        <f>=HYPERLINK("10.175.1.14\MWEB.12\SEP\EntityDetails.10.175.1.14.MWEB.12.-remote-stat.479.xlsx", "&lt;Detail&gt;")</f>
      </c>
      <c r="L152" s="1">
        <f>=HYPERLINK("10.175.1.14\MWEB.12\SEP\MetricGraphs.SEP.10.175.1.14.MWEB.12.xlsx", "&lt;Metrics&gt;")</f>
      </c>
      <c r="M152" s="0" t="s">
        <v>101</v>
      </c>
      <c r="N152" s="0" t="s">
        <v>145</v>
      </c>
      <c r="O152" s="0" t="s">
        <v>165</v>
      </c>
      <c r="P152" s="0" t="s">
        <v>1537</v>
      </c>
    </row>
    <row r="153">
      <c r="A153" s="0" t="s">
        <v>28</v>
      </c>
      <c r="B153" s="0" t="s">
        <v>30</v>
      </c>
      <c r="C153" s="0" t="s">
        <v>164</v>
      </c>
      <c r="D153" s="0" t="s">
        <v>1119</v>
      </c>
      <c r="E153" s="0" t="s">
        <v>976</v>
      </c>
      <c r="F153" s="0" t="b">
        <v>0</v>
      </c>
      <c r="G153" s="0" t="s">
        <v>114</v>
      </c>
      <c r="H153" s="0">
        <v>12</v>
      </c>
      <c r="I153" s="0">
        <v>36</v>
      </c>
      <c r="J153" s="0">
        <v>672</v>
      </c>
      <c r="K153" s="1">
        <f>=HYPERLINK("10.175.1.14\MWEB.12\SEP\EntityDetails.10.175.1.14.MWEB.12.-remote-uplo.672.xlsx", "&lt;Detail&gt;")</f>
      </c>
      <c r="L153" s="1">
        <f>=HYPERLINK("10.175.1.14\MWEB.12\SEP\MetricGraphs.SEP.10.175.1.14.MWEB.12.xlsx", "&lt;Metrics&gt;")</f>
      </c>
      <c r="M153" s="0" t="s">
        <v>101</v>
      </c>
      <c r="N153" s="0" t="s">
        <v>145</v>
      </c>
      <c r="O153" s="0" t="s">
        <v>165</v>
      </c>
      <c r="P153" s="0" t="s">
        <v>1538</v>
      </c>
    </row>
    <row r="154">
      <c r="A154" s="0" t="s">
        <v>28</v>
      </c>
      <c r="B154" s="0" t="s">
        <v>30</v>
      </c>
      <c r="C154" s="0" t="s">
        <v>164</v>
      </c>
      <c r="D154" s="0" t="s">
        <v>1406</v>
      </c>
      <c r="E154" s="0" t="s">
        <v>976</v>
      </c>
      <c r="F154" s="0" t="b">
        <v>0</v>
      </c>
      <c r="G154" s="0" t="s">
        <v>114</v>
      </c>
      <c r="H154" s="0">
        <v>12</v>
      </c>
      <c r="I154" s="0">
        <v>36</v>
      </c>
      <c r="J154" s="0">
        <v>1237</v>
      </c>
      <c r="K154" s="1">
        <f>=HYPERLINK("10.175.1.14\MWEB.12\SEP\EntityDetails.10.175.1.14.MWEB.12.-reporter-cl.1237.xlsx", "&lt;Detail&gt;")</f>
      </c>
      <c r="L154" s="1">
        <f>=HYPERLINK("10.175.1.14\MWEB.12\SEP\MetricGraphs.SEP.10.175.1.14.MWEB.12.xlsx", "&lt;Metrics&gt;")</f>
      </c>
      <c r="M154" s="0" t="s">
        <v>101</v>
      </c>
      <c r="N154" s="0" t="s">
        <v>145</v>
      </c>
      <c r="O154" s="0" t="s">
        <v>165</v>
      </c>
      <c r="P154" s="0" t="s">
        <v>1539</v>
      </c>
    </row>
    <row r="155">
      <c r="A155" s="0" t="s">
        <v>28</v>
      </c>
      <c r="B155" s="0" t="s">
        <v>30</v>
      </c>
      <c r="C155" s="0" t="s">
        <v>164</v>
      </c>
      <c r="D155" s="0" t="s">
        <v>1540</v>
      </c>
      <c r="E155" s="0" t="s">
        <v>976</v>
      </c>
      <c r="F155" s="0" t="b">
        <v>0</v>
      </c>
      <c r="G155" s="0" t="s">
        <v>114</v>
      </c>
      <c r="H155" s="0">
        <v>12</v>
      </c>
      <c r="I155" s="0">
        <v>36</v>
      </c>
      <c r="J155" s="0">
        <v>1246</v>
      </c>
      <c r="K155" s="1">
        <f>=HYPERLINK("10.175.1.14\MWEB.12\SEP\EntityDetails.10.175.1.14.MWEB.12.-scripts-1mn.1246.xlsx", "&lt;Detail&gt;")</f>
      </c>
      <c r="L155" s="1">
        <f>=HYPERLINK("10.175.1.14\MWEB.12\SEP\MetricGraphs.SEP.10.175.1.14.MWEB.12.xlsx", "&lt;Metrics&gt;")</f>
      </c>
      <c r="M155" s="0" t="s">
        <v>101</v>
      </c>
      <c r="N155" s="0" t="s">
        <v>145</v>
      </c>
      <c r="O155" s="0" t="s">
        <v>165</v>
      </c>
      <c r="P155" s="0" t="s">
        <v>1541</v>
      </c>
    </row>
    <row r="156">
      <c r="A156" s="0" t="s">
        <v>28</v>
      </c>
      <c r="B156" s="0" t="s">
        <v>30</v>
      </c>
      <c r="C156" s="0" t="s">
        <v>164</v>
      </c>
      <c r="D156" s="0" t="s">
        <v>1542</v>
      </c>
      <c r="E156" s="0" t="s">
        <v>976</v>
      </c>
      <c r="F156" s="0" t="b">
        <v>0</v>
      </c>
      <c r="G156" s="0" t="s">
        <v>114</v>
      </c>
      <c r="H156" s="0">
        <v>12</v>
      </c>
      <c r="I156" s="0">
        <v>36</v>
      </c>
      <c r="J156" s="0">
        <v>1238</v>
      </c>
      <c r="K156" s="1">
        <f>=HYPERLINK("10.175.1.14\MWEB.12\SEP\EntityDetails.10.175.1.14.MWEB.12.-scripts-zen.1238.xlsx", "&lt;Detail&gt;")</f>
      </c>
      <c r="L156" s="1">
        <f>=HYPERLINK("10.175.1.14\MWEB.12\SEP\MetricGraphs.SEP.10.175.1.14.MWEB.12.xlsx", "&lt;Metrics&gt;")</f>
      </c>
      <c r="M156" s="0" t="s">
        <v>101</v>
      </c>
      <c r="N156" s="0" t="s">
        <v>145</v>
      </c>
      <c r="O156" s="0" t="s">
        <v>165</v>
      </c>
      <c r="P156" s="0" t="s">
        <v>1543</v>
      </c>
    </row>
    <row r="157">
      <c r="A157" s="0" t="s">
        <v>28</v>
      </c>
      <c r="B157" s="0" t="s">
        <v>30</v>
      </c>
      <c r="C157" s="0" t="s">
        <v>164</v>
      </c>
      <c r="D157" s="0" t="s">
        <v>1408</v>
      </c>
      <c r="E157" s="0" t="s">
        <v>976</v>
      </c>
      <c r="F157" s="0" t="b">
        <v>0</v>
      </c>
      <c r="G157" s="0" t="s">
        <v>114</v>
      </c>
      <c r="H157" s="0">
        <v>12</v>
      </c>
      <c r="I157" s="0">
        <v>36</v>
      </c>
      <c r="J157" s="0">
        <v>1234</v>
      </c>
      <c r="K157" s="1">
        <f>=HYPERLINK("10.175.1.14\MWEB.12\SEP\EntityDetails.10.175.1.14.MWEB.12.-userportal-.1234.xlsx", "&lt;Detail&gt;")</f>
      </c>
      <c r="L157" s="1">
        <f>=HYPERLINK("10.175.1.14\MWEB.12\SEP\MetricGraphs.SEP.10.175.1.14.MWEB.12.xlsx", "&lt;Metrics&gt;")</f>
      </c>
      <c r="M157" s="0" t="s">
        <v>101</v>
      </c>
      <c r="N157" s="0" t="s">
        <v>145</v>
      </c>
      <c r="O157" s="0" t="s">
        <v>165</v>
      </c>
      <c r="P157" s="0" t="s">
        <v>1544</v>
      </c>
    </row>
    <row r="158">
      <c r="A158" s="0" t="s">
        <v>28</v>
      </c>
      <c r="B158" s="0" t="s">
        <v>30</v>
      </c>
      <c r="C158" s="0" t="s">
        <v>164</v>
      </c>
      <c r="D158" s="0" t="s">
        <v>1410</v>
      </c>
      <c r="E158" s="0" t="s">
        <v>976</v>
      </c>
      <c r="F158" s="0" t="b">
        <v>0</v>
      </c>
      <c r="G158" s="0" t="s">
        <v>114</v>
      </c>
      <c r="H158" s="0">
        <v>12</v>
      </c>
      <c r="I158" s="0">
        <v>36</v>
      </c>
      <c r="J158" s="0">
        <v>1236</v>
      </c>
      <c r="K158" s="1">
        <f>=HYPERLINK("10.175.1.14\MWEB.12\SEP\EntityDetails.10.175.1.14.MWEB.12.-webconsole-.1236.xlsx", "&lt;Detail&gt;")</f>
      </c>
      <c r="L158" s="1">
        <f>=HYPERLINK("10.175.1.14\MWEB.12\SEP\MetricGraphs.SEP.10.175.1.14.MWEB.12.xlsx", "&lt;Metrics&gt;")</f>
      </c>
      <c r="M158" s="0" t="s">
        <v>101</v>
      </c>
      <c r="N158" s="0" t="s">
        <v>145</v>
      </c>
      <c r="O158" s="0" t="s">
        <v>165</v>
      </c>
      <c r="P158" s="0" t="s">
        <v>1545</v>
      </c>
    </row>
    <row r="159">
      <c r="A159" s="0" t="s">
        <v>28</v>
      </c>
      <c r="B159" s="0" t="s">
        <v>30</v>
      </c>
      <c r="C159" s="0" t="s">
        <v>164</v>
      </c>
      <c r="D159" s="0" t="s">
        <v>1546</v>
      </c>
      <c r="E159" s="0" t="s">
        <v>976</v>
      </c>
      <c r="F159" s="0" t="b">
        <v>0</v>
      </c>
      <c r="G159" s="0" t="s">
        <v>114</v>
      </c>
      <c r="H159" s="0">
        <v>12</v>
      </c>
      <c r="I159" s="0">
        <v>36</v>
      </c>
      <c r="J159" s="0">
        <v>1230</v>
      </c>
      <c r="K159" s="1">
        <f>=HYPERLINK("10.175.1.14\MWEB.12\SEP\EntityDetails.10.175.1.14.MWEB.12.-weblogic-in.1230.xlsx", "&lt;Detail&gt;")</f>
      </c>
      <c r="L159" s="1">
        <f>=HYPERLINK("10.175.1.14\MWEB.12\SEP\MetricGraphs.SEP.10.175.1.14.MWEB.12.xlsx", "&lt;Metrics&gt;")</f>
      </c>
      <c r="M159" s="0" t="s">
        <v>101</v>
      </c>
      <c r="N159" s="0" t="s">
        <v>145</v>
      </c>
      <c r="O159" s="0" t="s">
        <v>165</v>
      </c>
      <c r="P159" s="0" t="s">
        <v>1547</v>
      </c>
    </row>
    <row r="160">
      <c r="A160" s="0" t="s">
        <v>28</v>
      </c>
      <c r="B160" s="0" t="s">
        <v>30</v>
      </c>
      <c r="C160" s="0" t="s">
        <v>164</v>
      </c>
      <c r="D160" s="0" t="s">
        <v>1548</v>
      </c>
      <c r="E160" s="0" t="s">
        <v>976</v>
      </c>
      <c r="F160" s="0" t="b">
        <v>0</v>
      </c>
      <c r="G160" s="0" t="s">
        <v>114</v>
      </c>
      <c r="H160" s="0">
        <v>12</v>
      </c>
      <c r="I160" s="0">
        <v>36</v>
      </c>
      <c r="J160" s="0">
        <v>1249</v>
      </c>
      <c r="K160" s="1">
        <f>=HYPERLINK("10.175.1.14\MWEB.12\SEP\EntityDetails.10.175.1.14.MWEB.12.-WebServiceI.1249.xlsx", "&lt;Detail&gt;")</f>
      </c>
      <c r="L160" s="1">
        <f>=HYPERLINK("10.175.1.14\MWEB.12\SEP\MetricGraphs.SEP.10.175.1.14.MWEB.12.xlsx", "&lt;Metrics&gt;")</f>
      </c>
      <c r="M160" s="0" t="s">
        <v>101</v>
      </c>
      <c r="N160" s="0" t="s">
        <v>145</v>
      </c>
      <c r="O160" s="0" t="s">
        <v>165</v>
      </c>
      <c r="P160" s="0" t="s">
        <v>1549</v>
      </c>
    </row>
    <row r="161">
      <c r="A161" s="0" t="s">
        <v>28</v>
      </c>
      <c r="B161" s="0" t="s">
        <v>30</v>
      </c>
      <c r="C161" s="0" t="s">
        <v>164</v>
      </c>
      <c r="D161" s="0" t="s">
        <v>1550</v>
      </c>
      <c r="E161" s="0" t="s">
        <v>976</v>
      </c>
      <c r="F161" s="0" t="b">
        <v>0</v>
      </c>
      <c r="G161" s="0" t="s">
        <v>114</v>
      </c>
      <c r="H161" s="0">
        <v>12</v>
      </c>
      <c r="I161" s="0">
        <v>36</v>
      </c>
      <c r="J161" s="0">
        <v>1244</v>
      </c>
      <c r="K161" s="1">
        <f>=HYPERLINK("10.175.1.14\MWEB.12\SEP\EntityDetails.10.175.1.14.MWEB.12.-zenworks-js.1244.xlsx", "&lt;Detail&gt;")</f>
      </c>
      <c r="L161" s="1">
        <f>=HYPERLINK("10.175.1.14\MWEB.12\SEP\MetricGraphs.SEP.10.175.1.14.MWEB.12.xlsx", "&lt;Metrics&gt;")</f>
      </c>
      <c r="M161" s="0" t="s">
        <v>101</v>
      </c>
      <c r="N161" s="0" t="s">
        <v>145</v>
      </c>
      <c r="O161" s="0" t="s">
        <v>165</v>
      </c>
      <c r="P161" s="0" t="s">
        <v>1551</v>
      </c>
    </row>
    <row r="162">
      <c r="A162" s="0" t="s">
        <v>28</v>
      </c>
      <c r="B162" s="0" t="s">
        <v>30</v>
      </c>
      <c r="C162" s="0" t="s">
        <v>166</v>
      </c>
      <c r="D162" s="0" t="s">
        <v>1269</v>
      </c>
      <c r="E162" s="0" t="s">
        <v>1270</v>
      </c>
      <c r="F162" s="0" t="b">
        <v>0</v>
      </c>
      <c r="G162" s="0" t="s">
        <v>114</v>
      </c>
      <c r="H162" s="0">
        <v>12</v>
      </c>
      <c r="I162" s="0">
        <v>37</v>
      </c>
      <c r="J162" s="0">
        <v>276</v>
      </c>
      <c r="K162" s="1">
        <f>=HYPERLINK("10.175.1.14\MWEB.12\SEP\EntityDetails.10.175.1.14.MWEB.12.-.POST.276.xlsx", "&lt;Detail&gt;")</f>
      </c>
      <c r="L162" s="1">
        <f>=HYPERLINK("10.175.1.14\MWEB.12\SEP\MetricGraphs.SEP.10.175.1.14.MWEB.12.xlsx", "&lt;Metrics&gt;")</f>
      </c>
      <c r="M162" s="0" t="s">
        <v>101</v>
      </c>
      <c r="N162" s="0" t="s">
        <v>145</v>
      </c>
      <c r="O162" s="0" t="s">
        <v>167</v>
      </c>
      <c r="P162" s="0" t="s">
        <v>1552</v>
      </c>
    </row>
    <row r="163">
      <c r="A163" s="0" t="s">
        <v>28</v>
      </c>
      <c r="B163" s="0" t="s">
        <v>30</v>
      </c>
      <c r="C163" s="0" t="s">
        <v>166</v>
      </c>
      <c r="D163" s="0" t="s">
        <v>1089</v>
      </c>
      <c r="E163" s="0" t="s">
        <v>976</v>
      </c>
      <c r="F163" s="0" t="b">
        <v>0</v>
      </c>
      <c r="G163" s="0" t="s">
        <v>114</v>
      </c>
      <c r="H163" s="0">
        <v>12</v>
      </c>
      <c r="I163" s="0">
        <v>37</v>
      </c>
      <c r="J163" s="0">
        <v>282</v>
      </c>
      <c r="K163" s="1">
        <f>=HYPERLINK("10.175.1.14\MWEB.12\SEP\EntityDetails.10.175.1.14.MWEB.12.-connect-api.282.xlsx", "&lt;Detail&gt;")</f>
      </c>
      <c r="L163" s="1">
        <f>=HYPERLINK("10.175.1.14\MWEB.12\SEP\MetricGraphs.SEP.10.175.1.14.MWEB.12.xlsx", "&lt;Metrics&gt;")</f>
      </c>
      <c r="M163" s="0" t="s">
        <v>101</v>
      </c>
      <c r="N163" s="0" t="s">
        <v>145</v>
      </c>
      <c r="O163" s="0" t="s">
        <v>167</v>
      </c>
      <c r="P163" s="0" t="s">
        <v>1553</v>
      </c>
    </row>
    <row r="164">
      <c r="A164" s="0" t="s">
        <v>28</v>
      </c>
      <c r="B164" s="0" t="s">
        <v>30</v>
      </c>
      <c r="C164" s="0" t="s">
        <v>166</v>
      </c>
      <c r="D164" s="0" t="s">
        <v>1285</v>
      </c>
      <c r="E164" s="0" t="s">
        <v>976</v>
      </c>
      <c r="F164" s="0" t="b">
        <v>0</v>
      </c>
      <c r="G164" s="0" t="s">
        <v>114</v>
      </c>
      <c r="H164" s="0">
        <v>12</v>
      </c>
      <c r="I164" s="0">
        <v>37</v>
      </c>
      <c r="J164" s="0">
        <v>281</v>
      </c>
      <c r="K164" s="1">
        <f>=HYPERLINK("10.175.1.14\MWEB.12\SEP\EntityDetails.10.175.1.14.MWEB.12.-connect-WEB.281.xlsx", "&lt;Detail&gt;")</f>
      </c>
      <c r="L164" s="1">
        <f>=HYPERLINK("10.175.1.14\MWEB.12\SEP\MetricGraphs.SEP.10.175.1.14.MWEB.12.xlsx", "&lt;Metrics&gt;")</f>
      </c>
      <c r="M164" s="0" t="s">
        <v>101</v>
      </c>
      <c r="N164" s="0" t="s">
        <v>145</v>
      </c>
      <c r="O164" s="0" t="s">
        <v>167</v>
      </c>
      <c r="P164" s="0" t="s">
        <v>1554</v>
      </c>
    </row>
    <row r="165">
      <c r="A165" s="0" t="s">
        <v>28</v>
      </c>
      <c r="B165" s="0" t="s">
        <v>30</v>
      </c>
      <c r="C165" s="0" t="s">
        <v>166</v>
      </c>
      <c r="D165" s="0" t="s">
        <v>984</v>
      </c>
      <c r="E165" s="0" t="s">
        <v>976</v>
      </c>
      <c r="F165" s="0" t="b">
        <v>0</v>
      </c>
      <c r="G165" s="0" t="s">
        <v>114</v>
      </c>
      <c r="H165" s="0">
        <v>12</v>
      </c>
      <c r="I165" s="0">
        <v>37</v>
      </c>
      <c r="J165" s="0">
        <v>295</v>
      </c>
      <c r="K165" s="1">
        <f>=HYPERLINK("10.175.1.14\MWEB.12\SEP\EntityDetails.10.175.1.14.MWEB.12.-HealthMonit.295.xlsx", "&lt;Detail&gt;")</f>
      </c>
      <c r="L165" s="1">
        <f>=HYPERLINK("10.175.1.14\MWEB.12\SEP\MetricGraphs.SEP.10.175.1.14.MWEB.12.xlsx", "&lt;Metrics&gt;")</f>
      </c>
      <c r="M165" s="0" t="s">
        <v>101</v>
      </c>
      <c r="N165" s="0" t="s">
        <v>145</v>
      </c>
      <c r="O165" s="0" t="s">
        <v>167</v>
      </c>
      <c r="P165" s="0" t="s">
        <v>1555</v>
      </c>
    </row>
    <row r="166">
      <c r="A166" s="0" t="s">
        <v>28</v>
      </c>
      <c r="B166" s="0" t="s">
        <v>30</v>
      </c>
      <c r="C166" s="0" t="s">
        <v>166</v>
      </c>
      <c r="D166" s="0" t="s">
        <v>1026</v>
      </c>
      <c r="E166" s="0" t="s">
        <v>976</v>
      </c>
      <c r="F166" s="0" t="b">
        <v>0</v>
      </c>
      <c r="G166" s="0" t="s">
        <v>114</v>
      </c>
      <c r="H166" s="0">
        <v>12</v>
      </c>
      <c r="I166" s="0">
        <v>37</v>
      </c>
      <c r="J166" s="0">
        <v>275</v>
      </c>
      <c r="K166" s="1">
        <f>=HYPERLINK("10.175.1.14\MWEB.12\SEP\EntityDetails.10.175.1.14.MWEB.12.-management-.275.xlsx", "&lt;Detail&gt;")</f>
      </c>
      <c r="L166" s="1">
        <f>=HYPERLINK("10.175.1.14\MWEB.12\SEP\MetricGraphs.SEP.10.175.1.14.MWEB.12.xlsx", "&lt;Metrics&gt;")</f>
      </c>
      <c r="M166" s="0" t="s">
        <v>101</v>
      </c>
      <c r="N166" s="0" t="s">
        <v>145</v>
      </c>
      <c r="O166" s="0" t="s">
        <v>167</v>
      </c>
      <c r="P166" s="0" t="s">
        <v>1556</v>
      </c>
    </row>
    <row r="167">
      <c r="A167" s="0" t="s">
        <v>28</v>
      </c>
      <c r="B167" s="0" t="s">
        <v>30</v>
      </c>
      <c r="C167" s="0" t="s">
        <v>166</v>
      </c>
      <c r="D167" s="0" t="s">
        <v>1546</v>
      </c>
      <c r="E167" s="0" t="s">
        <v>976</v>
      </c>
      <c r="F167" s="0" t="b">
        <v>0</v>
      </c>
      <c r="G167" s="0" t="s">
        <v>114</v>
      </c>
      <c r="H167" s="0">
        <v>12</v>
      </c>
      <c r="I167" s="0">
        <v>37</v>
      </c>
      <c r="J167" s="0">
        <v>1232</v>
      </c>
      <c r="K167" s="1">
        <f>=HYPERLINK("10.175.1.14\MWEB.12\SEP\EntityDetails.10.175.1.14.MWEB.12.-weblogic-in.1232.xlsx", "&lt;Detail&gt;")</f>
      </c>
      <c r="L167" s="1">
        <f>=HYPERLINK("10.175.1.14\MWEB.12\SEP\MetricGraphs.SEP.10.175.1.14.MWEB.12.xlsx", "&lt;Metrics&gt;")</f>
      </c>
      <c r="M167" s="0" t="s">
        <v>101</v>
      </c>
      <c r="N167" s="0" t="s">
        <v>145</v>
      </c>
      <c r="O167" s="0" t="s">
        <v>167</v>
      </c>
      <c r="P167" s="0" t="s">
        <v>1557</v>
      </c>
    </row>
    <row r="168">
      <c r="A168" s="0" t="s">
        <v>28</v>
      </c>
      <c r="B168" s="0" t="s">
        <v>30</v>
      </c>
      <c r="C168" s="0" t="s">
        <v>168</v>
      </c>
      <c r="D168" s="0" t="s">
        <v>1269</v>
      </c>
      <c r="E168" s="0" t="s">
        <v>1270</v>
      </c>
      <c r="F168" s="0" t="b">
        <v>0</v>
      </c>
      <c r="G168" s="0" t="s">
        <v>114</v>
      </c>
      <c r="H168" s="0">
        <v>12</v>
      </c>
      <c r="I168" s="0">
        <v>38</v>
      </c>
      <c r="J168" s="0">
        <v>278</v>
      </c>
      <c r="K168" s="1">
        <f>=HYPERLINK("10.175.1.14\MWEB.12\SEP\EntityDetails.10.175.1.14.MWEB.12.-.POST.278.xlsx", "&lt;Detail&gt;")</f>
      </c>
      <c r="L168" s="1">
        <f>=HYPERLINK("10.175.1.14\MWEB.12\SEP\MetricGraphs.SEP.10.175.1.14.MWEB.12.xlsx", "&lt;Metrics&gt;")</f>
      </c>
      <c r="M168" s="0" t="s">
        <v>101</v>
      </c>
      <c r="N168" s="0" t="s">
        <v>145</v>
      </c>
      <c r="O168" s="0" t="s">
        <v>169</v>
      </c>
      <c r="P168" s="0" t="s">
        <v>1558</v>
      </c>
    </row>
    <row r="169">
      <c r="A169" s="0" t="s">
        <v>28</v>
      </c>
      <c r="B169" s="0" t="s">
        <v>30</v>
      </c>
      <c r="C169" s="0" t="s">
        <v>168</v>
      </c>
      <c r="D169" s="0" t="s">
        <v>1089</v>
      </c>
      <c r="E169" s="0" t="s">
        <v>976</v>
      </c>
      <c r="F169" s="0" t="b">
        <v>0</v>
      </c>
      <c r="G169" s="0" t="s">
        <v>114</v>
      </c>
      <c r="H169" s="0">
        <v>12</v>
      </c>
      <c r="I169" s="0">
        <v>38</v>
      </c>
      <c r="J169" s="0">
        <v>284</v>
      </c>
      <c r="K169" s="1">
        <f>=HYPERLINK("10.175.1.14\MWEB.12\SEP\EntityDetails.10.175.1.14.MWEB.12.-connect-api.284.xlsx", "&lt;Detail&gt;")</f>
      </c>
      <c r="L169" s="1">
        <f>=HYPERLINK("10.175.1.14\MWEB.12\SEP\MetricGraphs.SEP.10.175.1.14.MWEB.12.xlsx", "&lt;Metrics&gt;")</f>
      </c>
      <c r="M169" s="0" t="s">
        <v>101</v>
      </c>
      <c r="N169" s="0" t="s">
        <v>145</v>
      </c>
      <c r="O169" s="0" t="s">
        <v>169</v>
      </c>
      <c r="P169" s="0" t="s">
        <v>1559</v>
      </c>
    </row>
    <row r="170">
      <c r="A170" s="0" t="s">
        <v>28</v>
      </c>
      <c r="B170" s="0" t="s">
        <v>30</v>
      </c>
      <c r="C170" s="0" t="s">
        <v>168</v>
      </c>
      <c r="D170" s="0" t="s">
        <v>1285</v>
      </c>
      <c r="E170" s="0" t="s">
        <v>976</v>
      </c>
      <c r="F170" s="0" t="b">
        <v>0</v>
      </c>
      <c r="G170" s="0" t="s">
        <v>114</v>
      </c>
      <c r="H170" s="0">
        <v>12</v>
      </c>
      <c r="I170" s="0">
        <v>38</v>
      </c>
      <c r="J170" s="0">
        <v>283</v>
      </c>
      <c r="K170" s="1">
        <f>=HYPERLINK("10.175.1.14\MWEB.12\SEP\EntityDetails.10.175.1.14.MWEB.12.-connect-WEB.283.xlsx", "&lt;Detail&gt;")</f>
      </c>
      <c r="L170" s="1">
        <f>=HYPERLINK("10.175.1.14\MWEB.12\SEP\MetricGraphs.SEP.10.175.1.14.MWEB.12.xlsx", "&lt;Metrics&gt;")</f>
      </c>
      <c r="M170" s="0" t="s">
        <v>101</v>
      </c>
      <c r="N170" s="0" t="s">
        <v>145</v>
      </c>
      <c r="O170" s="0" t="s">
        <v>169</v>
      </c>
      <c r="P170" s="0" t="s">
        <v>1560</v>
      </c>
    </row>
    <row r="171">
      <c r="A171" s="0" t="s">
        <v>28</v>
      </c>
      <c r="B171" s="0" t="s">
        <v>30</v>
      </c>
      <c r="C171" s="0" t="s">
        <v>168</v>
      </c>
      <c r="D171" s="0" t="s">
        <v>984</v>
      </c>
      <c r="E171" s="0" t="s">
        <v>976</v>
      </c>
      <c r="F171" s="0" t="b">
        <v>0</v>
      </c>
      <c r="G171" s="0" t="s">
        <v>114</v>
      </c>
      <c r="H171" s="0">
        <v>12</v>
      </c>
      <c r="I171" s="0">
        <v>38</v>
      </c>
      <c r="J171" s="0">
        <v>297</v>
      </c>
      <c r="K171" s="1">
        <f>=HYPERLINK("10.175.1.14\MWEB.12\SEP\EntityDetails.10.175.1.14.MWEB.12.-HealthMonit.297.xlsx", "&lt;Detail&gt;")</f>
      </c>
      <c r="L171" s="1">
        <f>=HYPERLINK("10.175.1.14\MWEB.12\SEP\MetricGraphs.SEP.10.175.1.14.MWEB.12.xlsx", "&lt;Metrics&gt;")</f>
      </c>
      <c r="M171" s="0" t="s">
        <v>101</v>
      </c>
      <c r="N171" s="0" t="s">
        <v>145</v>
      </c>
      <c r="O171" s="0" t="s">
        <v>169</v>
      </c>
      <c r="P171" s="0" t="s">
        <v>1561</v>
      </c>
    </row>
    <row r="172">
      <c r="A172" s="0" t="s">
        <v>28</v>
      </c>
      <c r="B172" s="0" t="s">
        <v>30</v>
      </c>
      <c r="C172" s="0" t="s">
        <v>168</v>
      </c>
      <c r="D172" s="0" t="s">
        <v>1026</v>
      </c>
      <c r="E172" s="0" t="s">
        <v>976</v>
      </c>
      <c r="F172" s="0" t="b">
        <v>0</v>
      </c>
      <c r="G172" s="0" t="s">
        <v>114</v>
      </c>
      <c r="H172" s="0">
        <v>12</v>
      </c>
      <c r="I172" s="0">
        <v>38</v>
      </c>
      <c r="J172" s="0">
        <v>277</v>
      </c>
      <c r="K172" s="1">
        <f>=HYPERLINK("10.175.1.14\MWEB.12\SEP\EntityDetails.10.175.1.14.MWEB.12.-management-.277.xlsx", "&lt;Detail&gt;")</f>
      </c>
      <c r="L172" s="1">
        <f>=HYPERLINK("10.175.1.14\MWEB.12\SEP\MetricGraphs.SEP.10.175.1.14.MWEB.12.xlsx", "&lt;Metrics&gt;")</f>
      </c>
      <c r="M172" s="0" t="s">
        <v>101</v>
      </c>
      <c r="N172" s="0" t="s">
        <v>145</v>
      </c>
      <c r="O172" s="0" t="s">
        <v>169</v>
      </c>
      <c r="P172" s="0" t="s">
        <v>1562</v>
      </c>
    </row>
    <row r="173">
      <c r="A173" s="0" t="s">
        <v>28</v>
      </c>
      <c r="B173" s="0" t="s">
        <v>30</v>
      </c>
      <c r="C173" s="0" t="s">
        <v>168</v>
      </c>
      <c r="D173" s="0" t="s">
        <v>1132</v>
      </c>
      <c r="E173" s="0" t="s">
        <v>976</v>
      </c>
      <c r="F173" s="0" t="b">
        <v>0</v>
      </c>
      <c r="G173" s="0" t="s">
        <v>114</v>
      </c>
      <c r="H173" s="0">
        <v>12</v>
      </c>
      <c r="I173" s="0">
        <v>38</v>
      </c>
      <c r="J173" s="0">
        <v>293</v>
      </c>
      <c r="K173" s="1">
        <f>=HYPERLINK("10.175.1.14\MWEB.12\SEP\EntityDetails.10.175.1.14.MWEB.12.-stub-dummy.293.xlsx", "&lt;Detail&gt;")</f>
      </c>
      <c r="L173" s="1">
        <f>=HYPERLINK("10.175.1.14\MWEB.12\SEP\MetricGraphs.SEP.10.175.1.14.MWEB.12.xlsx", "&lt;Metrics&gt;")</f>
      </c>
      <c r="M173" s="0" t="s">
        <v>101</v>
      </c>
      <c r="N173" s="0" t="s">
        <v>145</v>
      </c>
      <c r="O173" s="0" t="s">
        <v>169</v>
      </c>
      <c r="P173" s="0" t="s">
        <v>1563</v>
      </c>
    </row>
    <row r="174">
      <c r="A174" s="0" t="s">
        <v>28</v>
      </c>
      <c r="B174" s="0" t="s">
        <v>30</v>
      </c>
      <c r="C174" s="0" t="s">
        <v>168</v>
      </c>
      <c r="D174" s="0" t="s">
        <v>1546</v>
      </c>
      <c r="E174" s="0" t="s">
        <v>976</v>
      </c>
      <c r="F174" s="0" t="b">
        <v>0</v>
      </c>
      <c r="G174" s="0" t="s">
        <v>114</v>
      </c>
      <c r="H174" s="0">
        <v>12</v>
      </c>
      <c r="I174" s="0">
        <v>38</v>
      </c>
      <c r="J174" s="0">
        <v>1233</v>
      </c>
      <c r="K174" s="1">
        <f>=HYPERLINK("10.175.1.14\MWEB.12\SEP\EntityDetails.10.175.1.14.MWEB.12.-weblogic-in.1233.xlsx", "&lt;Detail&gt;")</f>
      </c>
      <c r="L174" s="1">
        <f>=HYPERLINK("10.175.1.14\MWEB.12\SEP\MetricGraphs.SEP.10.175.1.14.MWEB.12.xlsx", "&lt;Metrics&gt;")</f>
      </c>
      <c r="M174" s="0" t="s">
        <v>101</v>
      </c>
      <c r="N174" s="0" t="s">
        <v>145</v>
      </c>
      <c r="O174" s="0" t="s">
        <v>169</v>
      </c>
      <c r="P174" s="0" t="s">
        <v>1564</v>
      </c>
    </row>
    <row r="175">
      <c r="A175" s="0" t="s">
        <v>28</v>
      </c>
      <c r="B175" s="0" t="s">
        <v>30</v>
      </c>
      <c r="C175" s="0" t="s">
        <v>174</v>
      </c>
      <c r="D175" s="0" t="s">
        <v>1269</v>
      </c>
      <c r="E175" s="0" t="s">
        <v>1270</v>
      </c>
      <c r="F175" s="0" t="b">
        <v>0</v>
      </c>
      <c r="G175" s="0" t="s">
        <v>114</v>
      </c>
      <c r="H175" s="0">
        <v>12</v>
      </c>
      <c r="I175" s="0">
        <v>43</v>
      </c>
      <c r="J175" s="0">
        <v>1885</v>
      </c>
      <c r="K175" s="1">
        <f>=HYPERLINK("10.175.1.14\MWEB.12\SEP\EntityDetails.10.175.1.14.MWEB.12.-.POST.1885.xlsx", "&lt;Detail&gt;")</f>
      </c>
      <c r="L175" s="1">
        <f>=HYPERLINK("10.175.1.14\MWEB.12\SEP\MetricGraphs.SEP.10.175.1.14.MWEB.12.xlsx", "&lt;Metrics&gt;")</f>
      </c>
      <c r="M175" s="0" t="s">
        <v>101</v>
      </c>
      <c r="N175" s="0" t="s">
        <v>145</v>
      </c>
      <c r="O175" s="0" t="s">
        <v>175</v>
      </c>
      <c r="P175" s="0" t="s">
        <v>1565</v>
      </c>
    </row>
    <row r="176">
      <c r="A176" s="0" t="s">
        <v>28</v>
      </c>
      <c r="B176" s="0" t="s">
        <v>30</v>
      </c>
      <c r="C176" s="0" t="s">
        <v>174</v>
      </c>
      <c r="D176" s="0" t="s">
        <v>1255</v>
      </c>
      <c r="E176" s="0" t="s">
        <v>976</v>
      </c>
      <c r="F176" s="0" t="b">
        <v>0</v>
      </c>
      <c r="G176" s="0" t="s">
        <v>114</v>
      </c>
      <c r="H176" s="0">
        <v>12</v>
      </c>
      <c r="I176" s="0">
        <v>43</v>
      </c>
      <c r="J176" s="0">
        <v>903</v>
      </c>
      <c r="K176" s="1">
        <f>=HYPERLINK("10.175.1.14\MWEB.12\SEP\EntityDetails.10.175.1.14.MWEB.12.-bea_wls_int.903.xlsx", "&lt;Detail&gt;")</f>
      </c>
      <c r="L176" s="1">
        <f>=HYPERLINK("10.175.1.14\MWEB.12\SEP\MetricGraphs.SEP.10.175.1.14.MWEB.12.xlsx", "&lt;Metrics&gt;")</f>
      </c>
      <c r="M176" s="0" t="s">
        <v>101</v>
      </c>
      <c r="N176" s="0" t="s">
        <v>145</v>
      </c>
      <c r="O176" s="0" t="s">
        <v>175</v>
      </c>
      <c r="P176" s="0" t="s">
        <v>1566</v>
      </c>
    </row>
    <row r="177">
      <c r="A177" s="0" t="s">
        <v>28</v>
      </c>
      <c r="B177" s="0" t="s">
        <v>30</v>
      </c>
      <c r="C177" s="0" t="s">
        <v>174</v>
      </c>
      <c r="D177" s="0" t="s">
        <v>1022</v>
      </c>
      <c r="E177" s="0" t="s">
        <v>976</v>
      </c>
      <c r="F177" s="0" t="b">
        <v>0</v>
      </c>
      <c r="G177" s="0" t="s">
        <v>114</v>
      </c>
      <c r="H177" s="0">
        <v>12</v>
      </c>
      <c r="I177" s="0">
        <v>43</v>
      </c>
      <c r="J177" s="0">
        <v>95</v>
      </c>
      <c r="K177" s="1">
        <f>=HYPERLINK("10.175.1.14\MWEB.12\SEP\EntityDetails.10.175.1.14.MWEB.12.-IPJSETTLEME.95.xlsx", "&lt;Detail&gt;")</f>
      </c>
      <c r="L177" s="1">
        <f>=HYPERLINK("10.175.1.14\MWEB.12\SEP\MetricGraphs.SEP.10.175.1.14.MWEB.12.xlsx", "&lt;Metrics&gt;")</f>
      </c>
      <c r="M177" s="0" t="s">
        <v>101</v>
      </c>
      <c r="N177" s="0" t="s">
        <v>145</v>
      </c>
      <c r="O177" s="0" t="s">
        <v>175</v>
      </c>
      <c r="P177" s="0" t="s">
        <v>1567</v>
      </c>
    </row>
    <row r="178">
      <c r="A178" s="0" t="s">
        <v>28</v>
      </c>
      <c r="B178" s="0" t="s">
        <v>30</v>
      </c>
      <c r="C178" s="0" t="s">
        <v>174</v>
      </c>
      <c r="D178" s="0" t="s">
        <v>1026</v>
      </c>
      <c r="E178" s="0" t="s">
        <v>976</v>
      </c>
      <c r="F178" s="0" t="b">
        <v>0</v>
      </c>
      <c r="G178" s="0" t="s">
        <v>114</v>
      </c>
      <c r="H178" s="0">
        <v>12</v>
      </c>
      <c r="I178" s="0">
        <v>43</v>
      </c>
      <c r="J178" s="0">
        <v>1884</v>
      </c>
      <c r="K178" s="1">
        <f>=HYPERLINK("10.175.1.14\MWEB.12\SEP\EntityDetails.10.175.1.14.MWEB.12.-management-.1884.xlsx", "&lt;Detail&gt;")</f>
      </c>
      <c r="L178" s="1">
        <f>=HYPERLINK("10.175.1.14\MWEB.12\SEP\MetricGraphs.SEP.10.175.1.14.MWEB.12.xlsx", "&lt;Metrics&gt;")</f>
      </c>
      <c r="M178" s="0" t="s">
        <v>101</v>
      </c>
      <c r="N178" s="0" t="s">
        <v>145</v>
      </c>
      <c r="O178" s="0" t="s">
        <v>175</v>
      </c>
      <c r="P178" s="0" t="s">
        <v>1568</v>
      </c>
    </row>
    <row r="179">
      <c r="A179" s="0" t="s">
        <v>28</v>
      </c>
      <c r="B179" s="0" t="s">
        <v>30</v>
      </c>
      <c r="C179" s="0" t="s">
        <v>174</v>
      </c>
      <c r="D179" s="0" t="s">
        <v>1546</v>
      </c>
      <c r="E179" s="0" t="s">
        <v>976</v>
      </c>
      <c r="F179" s="0" t="b">
        <v>0</v>
      </c>
      <c r="G179" s="0" t="s">
        <v>114</v>
      </c>
      <c r="H179" s="0">
        <v>12</v>
      </c>
      <c r="I179" s="0">
        <v>43</v>
      </c>
      <c r="J179" s="0">
        <v>1218</v>
      </c>
      <c r="K179" s="1">
        <f>=HYPERLINK("10.175.1.14\MWEB.12\SEP\EntityDetails.10.175.1.14.MWEB.12.-weblogic-in.1218.xlsx", "&lt;Detail&gt;")</f>
      </c>
      <c r="L179" s="1">
        <f>=HYPERLINK("10.175.1.14\MWEB.12\SEP\MetricGraphs.SEP.10.175.1.14.MWEB.12.xlsx", "&lt;Metrics&gt;")</f>
      </c>
      <c r="M179" s="0" t="s">
        <v>101</v>
      </c>
      <c r="N179" s="0" t="s">
        <v>145</v>
      </c>
      <c r="O179" s="0" t="s">
        <v>175</v>
      </c>
      <c r="P179" s="0" t="s">
        <v>1569</v>
      </c>
    </row>
    <row r="180">
      <c r="A180" s="0" t="s">
        <v>28</v>
      </c>
      <c r="B180" s="0" t="s">
        <v>30</v>
      </c>
      <c r="C180" s="0" t="s">
        <v>174</v>
      </c>
      <c r="D180" s="0" t="s">
        <v>1570</v>
      </c>
      <c r="E180" s="0" t="s">
        <v>944</v>
      </c>
      <c r="F180" s="0" t="b">
        <v>0</v>
      </c>
      <c r="G180" s="0" t="s">
        <v>114</v>
      </c>
      <c r="H180" s="0">
        <v>12</v>
      </c>
      <c r="I180" s="0">
        <v>43</v>
      </c>
      <c r="J180" s="0">
        <v>436</v>
      </c>
      <c r="K180" s="1">
        <f>=HYPERLINK("10.175.1.14\MWEB.12\SEP\EntityDetails.10.175.1.14.MWEB.12.WlcFgw7Recov.436.xlsx", "&lt;Detail&gt;")</f>
      </c>
      <c r="L180" s="1">
        <f>=HYPERLINK("10.175.1.14\MWEB.12\SEP\MetricGraphs.SEP.10.175.1.14.MWEB.12.xlsx", "&lt;Metrics&gt;")</f>
      </c>
      <c r="M180" s="0" t="s">
        <v>101</v>
      </c>
      <c r="N180" s="0" t="s">
        <v>145</v>
      </c>
      <c r="O180" s="0" t="s">
        <v>175</v>
      </c>
      <c r="P180" s="0" t="s">
        <v>1571</v>
      </c>
    </row>
    <row r="181">
      <c r="A181" s="0" t="s">
        <v>28</v>
      </c>
      <c r="B181" s="0" t="s">
        <v>30</v>
      </c>
      <c r="C181" s="0" t="s">
        <v>176</v>
      </c>
      <c r="D181" s="0" t="s">
        <v>1261</v>
      </c>
      <c r="E181" s="0" t="s">
        <v>976</v>
      </c>
      <c r="F181" s="0" t="b">
        <v>0</v>
      </c>
      <c r="G181" s="0" t="s">
        <v>114</v>
      </c>
      <c r="H181" s="0">
        <v>12</v>
      </c>
      <c r="I181" s="0">
        <v>34</v>
      </c>
      <c r="J181" s="0">
        <v>349</v>
      </c>
      <c r="K181" s="1">
        <f>=HYPERLINK("10.175.1.14\MWEB.12\SEP\EntityDetails.10.175.1.14.MWEB.12.-ondelay-Hea.349.xlsx", "&lt;Detail&gt;")</f>
      </c>
      <c r="L181" s="1">
        <f>=HYPERLINK("10.175.1.14\MWEB.12\SEP\MetricGraphs.SEP.10.175.1.14.MWEB.12.xlsx", "&lt;Metrics&gt;")</f>
      </c>
      <c r="M181" s="0" t="s">
        <v>101</v>
      </c>
      <c r="N181" s="0" t="s">
        <v>145</v>
      </c>
      <c r="O181" s="0" t="s">
        <v>177</v>
      </c>
      <c r="P181" s="0" t="s">
        <v>1572</v>
      </c>
    </row>
    <row r="182">
      <c r="A182" s="0" t="s">
        <v>28</v>
      </c>
      <c r="B182" s="0" t="s">
        <v>30</v>
      </c>
      <c r="C182" s="0" t="s">
        <v>176</v>
      </c>
      <c r="D182" s="0" t="s">
        <v>1101</v>
      </c>
      <c r="E182" s="0" t="s">
        <v>976</v>
      </c>
      <c r="F182" s="0" t="b">
        <v>0</v>
      </c>
      <c r="G182" s="0" t="s">
        <v>114</v>
      </c>
      <c r="H182" s="0">
        <v>12</v>
      </c>
      <c r="I182" s="0">
        <v>34</v>
      </c>
      <c r="J182" s="0">
        <v>230</v>
      </c>
      <c r="K182" s="1">
        <f>=HYPERLINK("10.175.1.14\MWEB.12\SEP\EntityDetails.10.175.1.14.MWEB.12.-ondelay-odc.230.xlsx", "&lt;Detail&gt;")</f>
      </c>
      <c r="L182" s="1">
        <f>=HYPERLINK("10.175.1.14\MWEB.12\SEP\MetricGraphs.SEP.10.175.1.14.MWEB.12.xlsx", "&lt;Metrics&gt;")</f>
      </c>
      <c r="M182" s="0" t="s">
        <v>101</v>
      </c>
      <c r="N182" s="0" t="s">
        <v>145</v>
      </c>
      <c r="O182" s="0" t="s">
        <v>177</v>
      </c>
      <c r="P182" s="0" t="s">
        <v>1573</v>
      </c>
    </row>
    <row r="183">
      <c r="A183" s="0" t="s">
        <v>28</v>
      </c>
      <c r="B183" s="0" t="s">
        <v>30</v>
      </c>
      <c r="C183" s="0" t="s">
        <v>178</v>
      </c>
      <c r="D183" s="0" t="s">
        <v>1269</v>
      </c>
      <c r="E183" s="0" t="s">
        <v>1270</v>
      </c>
      <c r="F183" s="0" t="b">
        <v>0</v>
      </c>
      <c r="G183" s="0" t="s">
        <v>114</v>
      </c>
      <c r="H183" s="0">
        <v>12</v>
      </c>
      <c r="I183" s="0">
        <v>49</v>
      </c>
      <c r="J183" s="0">
        <v>2058</v>
      </c>
      <c r="K183" s="1">
        <f>=HYPERLINK("10.175.1.14\MWEB.12\SEP\EntityDetails.10.175.1.14.MWEB.12.-.POST.2058.xlsx", "&lt;Detail&gt;")</f>
      </c>
      <c r="L183" s="1">
        <f>=HYPERLINK("10.175.1.14\MWEB.12\SEP\MetricGraphs.SEP.10.175.1.14.MWEB.12.xlsx", "&lt;Metrics&gt;")</f>
      </c>
      <c r="M183" s="0" t="s">
        <v>101</v>
      </c>
      <c r="N183" s="0" t="s">
        <v>145</v>
      </c>
      <c r="O183" s="0" t="s">
        <v>179</v>
      </c>
      <c r="P183" s="0" t="s">
        <v>1574</v>
      </c>
    </row>
    <row r="184">
      <c r="A184" s="0" t="s">
        <v>28</v>
      </c>
      <c r="B184" s="0" t="s">
        <v>30</v>
      </c>
      <c r="C184" s="0" t="s">
        <v>178</v>
      </c>
      <c r="D184" s="0" t="s">
        <v>984</v>
      </c>
      <c r="E184" s="0" t="s">
        <v>976</v>
      </c>
      <c r="F184" s="0" t="b">
        <v>0</v>
      </c>
      <c r="G184" s="0" t="s">
        <v>114</v>
      </c>
      <c r="H184" s="0">
        <v>12</v>
      </c>
      <c r="I184" s="0">
        <v>49</v>
      </c>
      <c r="J184" s="0">
        <v>1956</v>
      </c>
      <c r="K184" s="1">
        <f>=HYPERLINK("10.175.1.14\MWEB.12\SEP\EntityDetails.10.175.1.14.MWEB.12.-HealthMonit.1956.xlsx", "&lt;Detail&gt;")</f>
      </c>
      <c r="L184" s="1">
        <f>=HYPERLINK("10.175.1.14\MWEB.12\SEP\MetricGraphs.SEP.10.175.1.14.MWEB.12.xlsx", "&lt;Metrics&gt;")</f>
      </c>
      <c r="M184" s="0" t="s">
        <v>101</v>
      </c>
      <c r="N184" s="0" t="s">
        <v>145</v>
      </c>
      <c r="O184" s="0" t="s">
        <v>179</v>
      </c>
      <c r="P184" s="0" t="s">
        <v>1575</v>
      </c>
    </row>
    <row r="185">
      <c r="A185" s="0" t="s">
        <v>28</v>
      </c>
      <c r="B185" s="0" t="s">
        <v>30</v>
      </c>
      <c r="C185" s="0" t="s">
        <v>178</v>
      </c>
      <c r="D185" s="0" t="s">
        <v>1576</v>
      </c>
      <c r="E185" s="0" t="s">
        <v>976</v>
      </c>
      <c r="F185" s="0" t="b">
        <v>0</v>
      </c>
      <c r="G185" s="0" t="s">
        <v>114</v>
      </c>
      <c r="H185" s="0">
        <v>12</v>
      </c>
      <c r="I185" s="0">
        <v>49</v>
      </c>
      <c r="J185" s="0">
        <v>2411</v>
      </c>
      <c r="K185" s="1">
        <f>=HYPERLINK("10.175.1.14\MWEB.12\SEP\EntityDetails.10.175.1.14.MWEB.12.-include-ine.2411.xlsx", "&lt;Detail&gt;")</f>
      </c>
      <c r="L185" s="1">
        <f>=HYPERLINK("10.175.1.14\MWEB.12\SEP\MetricGraphs.SEP.10.175.1.14.MWEB.12.xlsx", "&lt;Metrics&gt;")</f>
      </c>
      <c r="M185" s="0" t="s">
        <v>101</v>
      </c>
      <c r="N185" s="0" t="s">
        <v>145</v>
      </c>
      <c r="O185" s="0" t="s">
        <v>179</v>
      </c>
      <c r="P185" s="0" t="s">
        <v>1577</v>
      </c>
    </row>
    <row r="186">
      <c r="A186" s="0" t="s">
        <v>28</v>
      </c>
      <c r="B186" s="0" t="s">
        <v>30</v>
      </c>
      <c r="C186" s="0" t="s">
        <v>178</v>
      </c>
      <c r="D186" s="0" t="s">
        <v>994</v>
      </c>
      <c r="E186" s="0" t="s">
        <v>976</v>
      </c>
      <c r="F186" s="0" t="b">
        <v>0</v>
      </c>
      <c r="G186" s="0" t="s">
        <v>114</v>
      </c>
      <c r="H186" s="0">
        <v>12</v>
      </c>
      <c r="I186" s="0">
        <v>49</v>
      </c>
      <c r="J186" s="0">
        <v>2536</v>
      </c>
      <c r="K186" s="1">
        <f>=HYPERLINK("10.175.1.14\MWEB.12\SEP\EntityDetails.10.175.1.14.MWEB.12.-inet-dy.2536.xlsx", "&lt;Detail&gt;")</f>
      </c>
      <c r="L186" s="1">
        <f>=HYPERLINK("10.175.1.14\MWEB.12\SEP\MetricGraphs.SEP.10.175.1.14.MWEB.12.xlsx", "&lt;Metrics&gt;")</f>
      </c>
      <c r="M186" s="0" t="s">
        <v>101</v>
      </c>
      <c r="N186" s="0" t="s">
        <v>145</v>
      </c>
      <c r="O186" s="0" t="s">
        <v>179</v>
      </c>
      <c r="P186" s="0" t="s">
        <v>1578</v>
      </c>
    </row>
    <row r="187">
      <c r="A187" s="0" t="s">
        <v>28</v>
      </c>
      <c r="B187" s="0" t="s">
        <v>30</v>
      </c>
      <c r="C187" s="0" t="s">
        <v>178</v>
      </c>
      <c r="D187" s="0" t="s">
        <v>1579</v>
      </c>
      <c r="E187" s="0" t="s">
        <v>976</v>
      </c>
      <c r="F187" s="0" t="b">
        <v>0</v>
      </c>
      <c r="G187" s="0" t="s">
        <v>114</v>
      </c>
      <c r="H187" s="0">
        <v>12</v>
      </c>
      <c r="I187" s="0">
        <v>49</v>
      </c>
      <c r="J187" s="0">
        <v>2533</v>
      </c>
      <c r="K187" s="1">
        <f>=HYPERLINK("10.175.1.14\MWEB.12\SEP\EntityDetails.10.175.1.14.MWEB.12.-inet-mufg.2533.xlsx", "&lt;Detail&gt;")</f>
      </c>
      <c r="L187" s="1">
        <f>=HYPERLINK("10.175.1.14\MWEB.12\SEP\MetricGraphs.SEP.10.175.1.14.MWEB.12.xlsx", "&lt;Metrics&gt;")</f>
      </c>
      <c r="M187" s="0" t="s">
        <v>101</v>
      </c>
      <c r="N187" s="0" t="s">
        <v>145</v>
      </c>
      <c r="O187" s="0" t="s">
        <v>179</v>
      </c>
      <c r="P187" s="0" t="s">
        <v>1580</v>
      </c>
    </row>
    <row r="188">
      <c r="A188" s="0" t="s">
        <v>28</v>
      </c>
      <c r="B188" s="0" t="s">
        <v>30</v>
      </c>
      <c r="C188" s="0" t="s">
        <v>178</v>
      </c>
      <c r="D188" s="0" t="s">
        <v>1026</v>
      </c>
      <c r="E188" s="0" t="s">
        <v>976</v>
      </c>
      <c r="F188" s="0" t="b">
        <v>0</v>
      </c>
      <c r="G188" s="0" t="s">
        <v>114</v>
      </c>
      <c r="H188" s="0">
        <v>12</v>
      </c>
      <c r="I188" s="0">
        <v>49</v>
      </c>
      <c r="J188" s="0">
        <v>2057</v>
      </c>
      <c r="K188" s="1">
        <f>=HYPERLINK("10.175.1.14\MWEB.12\SEP\EntityDetails.10.175.1.14.MWEB.12.-management-.2057.xlsx", "&lt;Detail&gt;")</f>
      </c>
      <c r="L188" s="1">
        <f>=HYPERLINK("10.175.1.14\MWEB.12\SEP\MetricGraphs.SEP.10.175.1.14.MWEB.12.xlsx", "&lt;Metrics&gt;")</f>
      </c>
      <c r="M188" s="0" t="s">
        <v>101</v>
      </c>
      <c r="N188" s="0" t="s">
        <v>145</v>
      </c>
      <c r="O188" s="0" t="s">
        <v>179</v>
      </c>
      <c r="P188" s="0" t="s">
        <v>1581</v>
      </c>
    </row>
    <row r="189">
      <c r="A189" s="0" t="s">
        <v>28</v>
      </c>
      <c r="B189" s="0" t="s">
        <v>30</v>
      </c>
      <c r="C189" s="0" t="s">
        <v>178</v>
      </c>
      <c r="D189" s="0" t="s">
        <v>1265</v>
      </c>
      <c r="E189" s="0" t="s">
        <v>976</v>
      </c>
      <c r="F189" s="0" t="b">
        <v>0</v>
      </c>
      <c r="G189" s="0" t="s">
        <v>114</v>
      </c>
      <c r="H189" s="0">
        <v>12</v>
      </c>
      <c r="I189" s="0">
        <v>49</v>
      </c>
      <c r="J189" s="0">
        <v>2409</v>
      </c>
      <c r="K189" s="1">
        <f>=HYPERLINK("10.175.1.14\MWEB.12\SEP\EntityDetails.10.175.1.14.MWEB.12.-net-.2409.xlsx", "&lt;Detail&gt;")</f>
      </c>
      <c r="L189" s="1">
        <f>=HYPERLINK("10.175.1.14\MWEB.12\SEP\MetricGraphs.SEP.10.175.1.14.MWEB.12.xlsx", "&lt;Metrics&gt;")</f>
      </c>
      <c r="M189" s="0" t="s">
        <v>101</v>
      </c>
      <c r="N189" s="0" t="s">
        <v>145</v>
      </c>
      <c r="O189" s="0" t="s">
        <v>179</v>
      </c>
      <c r="P189" s="0" t="s">
        <v>1582</v>
      </c>
    </row>
    <row r="190">
      <c r="A190" s="0" t="s">
        <v>28</v>
      </c>
      <c r="B190" s="0" t="s">
        <v>30</v>
      </c>
      <c r="C190" s="0" t="s">
        <v>178</v>
      </c>
      <c r="D190" s="0" t="s">
        <v>1583</v>
      </c>
      <c r="E190" s="0" t="s">
        <v>976</v>
      </c>
      <c r="F190" s="0" t="b">
        <v>0</v>
      </c>
      <c r="G190" s="0" t="s">
        <v>114</v>
      </c>
      <c r="H190" s="0">
        <v>12</v>
      </c>
      <c r="I190" s="0">
        <v>49</v>
      </c>
      <c r="J190" s="0">
        <v>2410</v>
      </c>
      <c r="K190" s="1">
        <f>=HYPERLINK("10.175.1.14\MWEB.12\SEP\EntityDetails.10.175.1.14.MWEB.12.-net-s_entry.2410.xlsx", "&lt;Detail&gt;")</f>
      </c>
      <c r="L190" s="1">
        <f>=HYPERLINK("10.175.1.14\MWEB.12\SEP\MetricGraphs.SEP.10.175.1.14.MWEB.12.xlsx", "&lt;Metrics&gt;")</f>
      </c>
      <c r="M190" s="0" t="s">
        <v>101</v>
      </c>
      <c r="N190" s="0" t="s">
        <v>145</v>
      </c>
      <c r="O190" s="0" t="s">
        <v>179</v>
      </c>
      <c r="P190" s="0" t="s">
        <v>1584</v>
      </c>
    </row>
    <row r="191">
      <c r="A191" s="0" t="s">
        <v>28</v>
      </c>
      <c r="B191" s="0" t="s">
        <v>30</v>
      </c>
      <c r="C191" s="0" t="s">
        <v>178</v>
      </c>
      <c r="D191" s="0" t="s">
        <v>1028</v>
      </c>
      <c r="E191" s="0" t="s">
        <v>976</v>
      </c>
      <c r="F191" s="0" t="b">
        <v>0</v>
      </c>
      <c r="G191" s="0" t="s">
        <v>114</v>
      </c>
      <c r="H191" s="0">
        <v>12</v>
      </c>
      <c r="I191" s="0">
        <v>49</v>
      </c>
      <c r="J191" s="0">
        <v>2535</v>
      </c>
      <c r="K191" s="1">
        <f>=HYPERLINK("10.175.1.14\MWEB.12\SEP\EntityDetails.10.175.1.14.MWEB.12.-WEB-INF-jsp.2535.xlsx", "&lt;Detail&gt;")</f>
      </c>
      <c r="L191" s="1">
        <f>=HYPERLINK("10.175.1.14\MWEB.12\SEP\MetricGraphs.SEP.10.175.1.14.MWEB.12.xlsx", "&lt;Metrics&gt;")</f>
      </c>
      <c r="M191" s="0" t="s">
        <v>101</v>
      </c>
      <c r="N191" s="0" t="s">
        <v>145</v>
      </c>
      <c r="O191" s="0" t="s">
        <v>179</v>
      </c>
      <c r="P191" s="0" t="s">
        <v>1585</v>
      </c>
    </row>
    <row r="192">
      <c r="A192" s="0" t="s">
        <v>28</v>
      </c>
      <c r="B192" s="0" t="s">
        <v>30</v>
      </c>
      <c r="C192" s="0" t="s">
        <v>180</v>
      </c>
      <c r="D192" s="0" t="s">
        <v>1269</v>
      </c>
      <c r="E192" s="0" t="s">
        <v>1270</v>
      </c>
      <c r="F192" s="0" t="b">
        <v>0</v>
      </c>
      <c r="G192" s="0" t="s">
        <v>114</v>
      </c>
      <c r="H192" s="0">
        <v>12</v>
      </c>
      <c r="I192" s="0">
        <v>50</v>
      </c>
      <c r="J192" s="0">
        <v>2526</v>
      </c>
      <c r="K192" s="1">
        <f>=HYPERLINK("10.175.1.14\MWEB.12\SEP\EntityDetails.10.175.1.14.MWEB.12.-.POST.2526.xlsx", "&lt;Detail&gt;")</f>
      </c>
      <c r="L192" s="1">
        <f>=HYPERLINK("10.175.1.14\MWEB.12\SEP\MetricGraphs.SEP.10.175.1.14.MWEB.12.xlsx", "&lt;Metrics&gt;")</f>
      </c>
      <c r="M192" s="0" t="s">
        <v>101</v>
      </c>
      <c r="N192" s="0" t="s">
        <v>145</v>
      </c>
      <c r="O192" s="0" t="s">
        <v>181</v>
      </c>
      <c r="P192" s="0" t="s">
        <v>1586</v>
      </c>
    </row>
    <row r="193">
      <c r="A193" s="0" t="s">
        <v>28</v>
      </c>
      <c r="B193" s="0" t="s">
        <v>30</v>
      </c>
      <c r="C193" s="0" t="s">
        <v>180</v>
      </c>
      <c r="D193" s="0" t="s">
        <v>984</v>
      </c>
      <c r="E193" s="0" t="s">
        <v>976</v>
      </c>
      <c r="F193" s="0" t="b">
        <v>0</v>
      </c>
      <c r="G193" s="0" t="s">
        <v>114</v>
      </c>
      <c r="H193" s="0">
        <v>12</v>
      </c>
      <c r="I193" s="0">
        <v>50</v>
      </c>
      <c r="J193" s="0">
        <v>1957</v>
      </c>
      <c r="K193" s="1">
        <f>=HYPERLINK("10.175.1.14\MWEB.12\SEP\EntityDetails.10.175.1.14.MWEB.12.-HealthMonit.1957.xlsx", "&lt;Detail&gt;")</f>
      </c>
      <c r="L193" s="1">
        <f>=HYPERLINK("10.175.1.14\MWEB.12\SEP\MetricGraphs.SEP.10.175.1.14.MWEB.12.xlsx", "&lt;Metrics&gt;")</f>
      </c>
      <c r="M193" s="0" t="s">
        <v>101</v>
      </c>
      <c r="N193" s="0" t="s">
        <v>145</v>
      </c>
      <c r="O193" s="0" t="s">
        <v>181</v>
      </c>
      <c r="P193" s="0" t="s">
        <v>1587</v>
      </c>
    </row>
    <row r="194">
      <c r="A194" s="0" t="s">
        <v>28</v>
      </c>
      <c r="B194" s="0" t="s">
        <v>30</v>
      </c>
      <c r="C194" s="0" t="s">
        <v>180</v>
      </c>
      <c r="D194" s="0" t="s">
        <v>1588</v>
      </c>
      <c r="E194" s="0" t="s">
        <v>976</v>
      </c>
      <c r="F194" s="0" t="b">
        <v>0</v>
      </c>
      <c r="G194" s="0" t="s">
        <v>114</v>
      </c>
      <c r="H194" s="0">
        <v>12</v>
      </c>
      <c r="I194" s="0">
        <v>50</v>
      </c>
      <c r="J194" s="0">
        <v>2529</v>
      </c>
      <c r="K194" s="1">
        <f>=HYPERLINK("10.175.1.14\MWEB.12\SEP\EntityDetails.10.175.1.14.MWEB.12.-include-.2529.xlsx", "&lt;Detail&gt;")</f>
      </c>
      <c r="L194" s="1">
        <f>=HYPERLINK("10.175.1.14\MWEB.12\SEP\MetricGraphs.SEP.10.175.1.14.MWEB.12.xlsx", "&lt;Metrics&gt;")</f>
      </c>
      <c r="M194" s="0" t="s">
        <v>101</v>
      </c>
      <c r="N194" s="0" t="s">
        <v>145</v>
      </c>
      <c r="O194" s="0" t="s">
        <v>181</v>
      </c>
      <c r="P194" s="0" t="s">
        <v>1589</v>
      </c>
    </row>
    <row r="195">
      <c r="A195" s="0" t="s">
        <v>28</v>
      </c>
      <c r="B195" s="0" t="s">
        <v>30</v>
      </c>
      <c r="C195" s="0" t="s">
        <v>180</v>
      </c>
      <c r="D195" s="0" t="s">
        <v>1590</v>
      </c>
      <c r="E195" s="0" t="s">
        <v>976</v>
      </c>
      <c r="F195" s="0" t="b">
        <v>0</v>
      </c>
      <c r="G195" s="0" t="s">
        <v>114</v>
      </c>
      <c r="H195" s="0">
        <v>12</v>
      </c>
      <c r="I195" s="0">
        <v>50</v>
      </c>
      <c r="J195" s="0">
        <v>2527</v>
      </c>
      <c r="K195" s="1">
        <f>=HYPERLINK("10.175.1.14\MWEB.12\SEP\EntityDetails.10.175.1.14.MWEB.12.-inet-.2527.xlsx", "&lt;Detail&gt;")</f>
      </c>
      <c r="L195" s="1">
        <f>=HYPERLINK("10.175.1.14\MWEB.12\SEP\MetricGraphs.SEP.10.175.1.14.MWEB.12.xlsx", "&lt;Metrics&gt;")</f>
      </c>
      <c r="M195" s="0" t="s">
        <v>101</v>
      </c>
      <c r="N195" s="0" t="s">
        <v>145</v>
      </c>
      <c r="O195" s="0" t="s">
        <v>181</v>
      </c>
      <c r="P195" s="0" t="s">
        <v>1591</v>
      </c>
    </row>
    <row r="196">
      <c r="A196" s="0" t="s">
        <v>28</v>
      </c>
      <c r="B196" s="0" t="s">
        <v>30</v>
      </c>
      <c r="C196" s="0" t="s">
        <v>180</v>
      </c>
      <c r="D196" s="0" t="s">
        <v>1273</v>
      </c>
      <c r="E196" s="0" t="s">
        <v>976</v>
      </c>
      <c r="F196" s="0" t="b">
        <v>0</v>
      </c>
      <c r="G196" s="0" t="s">
        <v>114</v>
      </c>
      <c r="H196" s="0">
        <v>12</v>
      </c>
      <c r="I196" s="0">
        <v>50</v>
      </c>
      <c r="J196" s="0">
        <v>2522</v>
      </c>
      <c r="K196" s="1">
        <f>=HYPERLINK("10.175.1.14\MWEB.12\SEP\EntityDetails.10.175.1.14.MWEB.12.-modules-.2522.xlsx", "&lt;Detail&gt;")</f>
      </c>
      <c r="L196" s="1">
        <f>=HYPERLINK("10.175.1.14\MWEB.12\SEP\MetricGraphs.SEP.10.175.1.14.MWEB.12.xlsx", "&lt;Metrics&gt;")</f>
      </c>
      <c r="M196" s="0" t="s">
        <v>101</v>
      </c>
      <c r="N196" s="0" t="s">
        <v>145</v>
      </c>
      <c r="O196" s="0" t="s">
        <v>181</v>
      </c>
      <c r="P196" s="0" t="s">
        <v>1592</v>
      </c>
    </row>
    <row r="197">
      <c r="A197" s="0" t="s">
        <v>28</v>
      </c>
      <c r="B197" s="0" t="s">
        <v>30</v>
      </c>
      <c r="C197" s="0" t="s">
        <v>180</v>
      </c>
      <c r="D197" s="0" t="s">
        <v>1265</v>
      </c>
      <c r="E197" s="0" t="s">
        <v>976</v>
      </c>
      <c r="F197" s="0" t="b">
        <v>0</v>
      </c>
      <c r="G197" s="0" t="s">
        <v>114</v>
      </c>
      <c r="H197" s="0">
        <v>12</v>
      </c>
      <c r="I197" s="0">
        <v>50</v>
      </c>
      <c r="J197" s="0">
        <v>2530</v>
      </c>
      <c r="K197" s="1">
        <f>=HYPERLINK("10.175.1.14\MWEB.12\SEP\EntityDetails.10.175.1.14.MWEB.12.-net-.2530.xlsx", "&lt;Detail&gt;")</f>
      </c>
      <c r="L197" s="1">
        <f>=HYPERLINK("10.175.1.14\MWEB.12\SEP\MetricGraphs.SEP.10.175.1.14.MWEB.12.xlsx", "&lt;Metrics&gt;")</f>
      </c>
      <c r="M197" s="0" t="s">
        <v>101</v>
      </c>
      <c r="N197" s="0" t="s">
        <v>145</v>
      </c>
      <c r="O197" s="0" t="s">
        <v>181</v>
      </c>
      <c r="P197" s="0" t="s">
        <v>1593</v>
      </c>
    </row>
    <row r="198">
      <c r="A198" s="0" t="s">
        <v>28</v>
      </c>
      <c r="B198" s="0" t="s">
        <v>30</v>
      </c>
      <c r="C198" s="0" t="s">
        <v>180</v>
      </c>
      <c r="D198" s="0" t="s">
        <v>1457</v>
      </c>
      <c r="E198" s="0" t="s">
        <v>976</v>
      </c>
      <c r="F198" s="0" t="b">
        <v>0</v>
      </c>
      <c r="G198" s="0" t="s">
        <v>114</v>
      </c>
      <c r="H198" s="0">
        <v>12</v>
      </c>
      <c r="I198" s="0">
        <v>50</v>
      </c>
      <c r="J198" s="0">
        <v>2270</v>
      </c>
      <c r="K198" s="1">
        <f>=HYPERLINK("10.175.1.14\MWEB.12\SEP\EntityDetails.10.175.1.14.MWEB.12.-online-WEB-.2270.xlsx", "&lt;Detail&gt;")</f>
      </c>
      <c r="L198" s="1">
        <f>=HYPERLINK("10.175.1.14\MWEB.12\SEP\MetricGraphs.SEP.10.175.1.14.MWEB.12.xlsx", "&lt;Metrics&gt;")</f>
      </c>
      <c r="M198" s="0" t="s">
        <v>101</v>
      </c>
      <c r="N198" s="0" t="s">
        <v>145</v>
      </c>
      <c r="O198" s="0" t="s">
        <v>181</v>
      </c>
      <c r="P198" s="0" t="s">
        <v>1594</v>
      </c>
    </row>
    <row r="199">
      <c r="A199" s="0" t="s">
        <v>28</v>
      </c>
      <c r="B199" s="0" t="s">
        <v>30</v>
      </c>
      <c r="C199" s="0" t="s">
        <v>180</v>
      </c>
      <c r="D199" s="0" t="s">
        <v>1595</v>
      </c>
      <c r="E199" s="0" t="s">
        <v>976</v>
      </c>
      <c r="F199" s="0" t="b">
        <v>0</v>
      </c>
      <c r="G199" s="0" t="s">
        <v>114</v>
      </c>
      <c r="H199" s="0">
        <v>12</v>
      </c>
      <c r="I199" s="0">
        <v>50</v>
      </c>
      <c r="J199" s="0">
        <v>2528</v>
      </c>
      <c r="K199" s="1">
        <f>=HYPERLINK("10.175.1.14\MWEB.12\SEP\EntityDetails.10.175.1.14.MWEB.12.-st-.2528.xlsx", "&lt;Detail&gt;")</f>
      </c>
      <c r="L199" s="1">
        <f>=HYPERLINK("10.175.1.14\MWEB.12\SEP\MetricGraphs.SEP.10.175.1.14.MWEB.12.xlsx", "&lt;Metrics&gt;")</f>
      </c>
      <c r="M199" s="0" t="s">
        <v>101</v>
      </c>
      <c r="N199" s="0" t="s">
        <v>145</v>
      </c>
      <c r="O199" s="0" t="s">
        <v>181</v>
      </c>
      <c r="P199" s="0" t="s">
        <v>1596</v>
      </c>
    </row>
    <row r="200">
      <c r="A200" s="0" t="s">
        <v>28</v>
      </c>
      <c r="B200" s="0" t="s">
        <v>30</v>
      </c>
      <c r="C200" s="0" t="s">
        <v>180</v>
      </c>
      <c r="D200" s="0" t="s">
        <v>1063</v>
      </c>
      <c r="E200" s="0" t="s">
        <v>976</v>
      </c>
      <c r="F200" s="0" t="b">
        <v>0</v>
      </c>
      <c r="G200" s="0" t="s">
        <v>114</v>
      </c>
      <c r="H200" s="0">
        <v>12</v>
      </c>
      <c r="I200" s="0">
        <v>50</v>
      </c>
      <c r="J200" s="0">
        <v>2252</v>
      </c>
      <c r="K200" s="1">
        <f>=HYPERLINK("10.175.1.14\MWEB.12\SEP\EntityDetails.10.175.1.14.MWEB.12.-wins-login.2252.xlsx", "&lt;Detail&gt;")</f>
      </c>
      <c r="L200" s="1">
        <f>=HYPERLINK("10.175.1.14\MWEB.12\SEP\MetricGraphs.SEP.10.175.1.14.MWEB.12.xlsx", "&lt;Metrics&gt;")</f>
      </c>
      <c r="M200" s="0" t="s">
        <v>101</v>
      </c>
      <c r="N200" s="0" t="s">
        <v>145</v>
      </c>
      <c r="O200" s="0" t="s">
        <v>181</v>
      </c>
      <c r="P200" s="0" t="s">
        <v>1597</v>
      </c>
    </row>
    <row r="201">
      <c r="A201" s="0" t="s">
        <v>28</v>
      </c>
      <c r="B201" s="0" t="s">
        <v>30</v>
      </c>
      <c r="C201" s="0" t="s">
        <v>180</v>
      </c>
      <c r="D201" s="0" t="s">
        <v>1276</v>
      </c>
      <c r="E201" s="0" t="s">
        <v>976</v>
      </c>
      <c r="F201" s="0" t="b">
        <v>0</v>
      </c>
      <c r="G201" s="0" t="s">
        <v>114</v>
      </c>
      <c r="H201" s="0">
        <v>12</v>
      </c>
      <c r="I201" s="0">
        <v>50</v>
      </c>
      <c r="J201" s="0">
        <v>2251</v>
      </c>
      <c r="K201" s="1">
        <f>=HYPERLINK("10.175.1.14\MWEB.12\SEP\EntityDetails.10.175.1.14.MWEB.12.-wins-WEB-IN.2251.xlsx", "&lt;Detail&gt;")</f>
      </c>
      <c r="L201" s="1">
        <f>=HYPERLINK("10.175.1.14\MWEB.12\SEP\MetricGraphs.SEP.10.175.1.14.MWEB.12.xlsx", "&lt;Metrics&gt;")</f>
      </c>
      <c r="M201" s="0" t="s">
        <v>101</v>
      </c>
      <c r="N201" s="0" t="s">
        <v>145</v>
      </c>
      <c r="O201" s="0" t="s">
        <v>181</v>
      </c>
      <c r="P201" s="0" t="s">
        <v>1598</v>
      </c>
    </row>
    <row r="202">
      <c r="A202" s="0" t="s">
        <v>28</v>
      </c>
      <c r="B202" s="0" t="s">
        <v>30</v>
      </c>
      <c r="C202" s="0" t="s">
        <v>182</v>
      </c>
      <c r="D202" s="0" t="s">
        <v>1080</v>
      </c>
      <c r="E202" s="0" t="s">
        <v>976</v>
      </c>
      <c r="F202" s="0" t="b">
        <v>0</v>
      </c>
      <c r="G202" s="0" t="s">
        <v>114</v>
      </c>
      <c r="H202" s="0">
        <v>12</v>
      </c>
      <c r="I202" s="0">
        <v>52</v>
      </c>
      <c r="J202" s="0">
        <v>1959</v>
      </c>
      <c r="K202" s="1">
        <f>=HYPERLINK("10.175.1.14\MWEB.12\SEP\EntityDetails.10.175.1.14.MWEB.12.-connect-ind.1959.xlsx", "&lt;Detail&gt;")</f>
      </c>
      <c r="L202" s="1">
        <f>=HYPERLINK("10.175.1.14\MWEB.12\SEP\MetricGraphs.SEP.10.175.1.14.MWEB.12.xlsx", "&lt;Metrics&gt;")</f>
      </c>
      <c r="M202" s="0" t="s">
        <v>101</v>
      </c>
      <c r="N202" s="0" t="s">
        <v>145</v>
      </c>
      <c r="O202" s="0" t="s">
        <v>183</v>
      </c>
      <c r="P202" s="0" t="s">
        <v>1599</v>
      </c>
    </row>
    <row r="203">
      <c r="A203" s="0" t="s">
        <v>28</v>
      </c>
      <c r="B203" s="0" t="s">
        <v>30</v>
      </c>
      <c r="C203" s="0" t="s">
        <v>184</v>
      </c>
      <c r="D203" s="0" t="s">
        <v>984</v>
      </c>
      <c r="E203" s="0" t="s">
        <v>976</v>
      </c>
      <c r="F203" s="0" t="b">
        <v>0</v>
      </c>
      <c r="G203" s="0" t="s">
        <v>114</v>
      </c>
      <c r="H203" s="0">
        <v>12</v>
      </c>
      <c r="I203" s="0">
        <v>51</v>
      </c>
      <c r="J203" s="0">
        <v>1958</v>
      </c>
      <c r="K203" s="1">
        <f>=HYPERLINK("10.175.1.14\MWEB.12\SEP\EntityDetails.10.175.1.14.MWEB.12.-HealthMonit.1958.xlsx", "&lt;Detail&gt;")</f>
      </c>
      <c r="L203" s="1">
        <f>=HYPERLINK("10.175.1.14\MWEB.12\SEP\MetricGraphs.SEP.10.175.1.14.MWEB.12.xlsx", "&lt;Metrics&gt;")</f>
      </c>
      <c r="M203" s="0" t="s">
        <v>101</v>
      </c>
      <c r="N203" s="0" t="s">
        <v>145</v>
      </c>
      <c r="O203" s="0" t="s">
        <v>185</v>
      </c>
      <c r="P203" s="0" t="s">
        <v>1600</v>
      </c>
    </row>
    <row r="204">
      <c r="A204" s="0" t="s">
        <v>28</v>
      </c>
      <c r="B204" s="0" t="s">
        <v>30</v>
      </c>
      <c r="C204" s="0" t="s">
        <v>184</v>
      </c>
      <c r="D204" s="0" t="s">
        <v>1588</v>
      </c>
      <c r="E204" s="0" t="s">
        <v>976</v>
      </c>
      <c r="F204" s="0" t="b">
        <v>0</v>
      </c>
      <c r="G204" s="0" t="s">
        <v>114</v>
      </c>
      <c r="H204" s="0">
        <v>12</v>
      </c>
      <c r="I204" s="0">
        <v>51</v>
      </c>
      <c r="J204" s="0">
        <v>2534</v>
      </c>
      <c r="K204" s="1">
        <f>=HYPERLINK("10.175.1.14\MWEB.12\SEP\EntityDetails.10.175.1.14.MWEB.12.-include-.2534.xlsx", "&lt;Detail&gt;")</f>
      </c>
      <c r="L204" s="1">
        <f>=HYPERLINK("10.175.1.14\MWEB.12\SEP\MetricGraphs.SEP.10.175.1.14.MWEB.12.xlsx", "&lt;Metrics&gt;")</f>
      </c>
      <c r="M204" s="0" t="s">
        <v>101</v>
      </c>
      <c r="N204" s="0" t="s">
        <v>145</v>
      </c>
      <c r="O204" s="0" t="s">
        <v>185</v>
      </c>
      <c r="P204" s="0" t="s">
        <v>1601</v>
      </c>
    </row>
    <row r="205">
      <c r="A205" s="0" t="s">
        <v>28</v>
      </c>
      <c r="B205" s="0" t="s">
        <v>30</v>
      </c>
      <c r="C205" s="0" t="s">
        <v>184</v>
      </c>
      <c r="D205" s="0" t="s">
        <v>1265</v>
      </c>
      <c r="E205" s="0" t="s">
        <v>976</v>
      </c>
      <c r="F205" s="0" t="b">
        <v>0</v>
      </c>
      <c r="G205" s="0" t="s">
        <v>114</v>
      </c>
      <c r="H205" s="0">
        <v>12</v>
      </c>
      <c r="I205" s="0">
        <v>51</v>
      </c>
      <c r="J205" s="0">
        <v>2532</v>
      </c>
      <c r="K205" s="1">
        <f>=HYPERLINK("10.175.1.14\MWEB.12\SEP\EntityDetails.10.175.1.14.MWEB.12.-net-.2532.xlsx", "&lt;Detail&gt;")</f>
      </c>
      <c r="L205" s="1">
        <f>=HYPERLINK("10.175.1.14\MWEB.12\SEP\MetricGraphs.SEP.10.175.1.14.MWEB.12.xlsx", "&lt;Metrics&gt;")</f>
      </c>
      <c r="M205" s="0" t="s">
        <v>101</v>
      </c>
      <c r="N205" s="0" t="s">
        <v>145</v>
      </c>
      <c r="O205" s="0" t="s">
        <v>185</v>
      </c>
      <c r="P205" s="0" t="s">
        <v>1602</v>
      </c>
    </row>
    <row r="206">
      <c r="A206" s="0" t="s">
        <v>28</v>
      </c>
      <c r="B206" s="0" t="s">
        <v>30</v>
      </c>
      <c r="C206" s="0" t="s">
        <v>186</v>
      </c>
      <c r="D206" s="0" t="s">
        <v>984</v>
      </c>
      <c r="E206" s="0" t="s">
        <v>976</v>
      </c>
      <c r="F206" s="0" t="b">
        <v>0</v>
      </c>
      <c r="G206" s="0" t="s">
        <v>114</v>
      </c>
      <c r="H206" s="0">
        <v>12</v>
      </c>
      <c r="I206" s="0">
        <v>54</v>
      </c>
      <c r="J206" s="0">
        <v>2066</v>
      </c>
      <c r="K206" s="1">
        <f>=HYPERLINK("10.175.1.14\MWEB.12\SEP\EntityDetails.10.175.1.14.MWEB.12.-HealthMonit.2066.xlsx", "&lt;Detail&gt;")</f>
      </c>
      <c r="L206" s="1">
        <f>=HYPERLINK("10.175.1.14\MWEB.12\SEP\MetricGraphs.SEP.10.175.1.14.MWEB.12.xlsx", "&lt;Metrics&gt;")</f>
      </c>
      <c r="M206" s="0" t="s">
        <v>101</v>
      </c>
      <c r="N206" s="0" t="s">
        <v>145</v>
      </c>
      <c r="O206" s="0" t="s">
        <v>187</v>
      </c>
      <c r="P206" s="0" t="s">
        <v>1603</v>
      </c>
    </row>
    <row r="207">
      <c r="A207" s="0" t="s">
        <v>28</v>
      </c>
      <c r="B207" s="0" t="s">
        <v>30</v>
      </c>
      <c r="C207" s="0" t="s">
        <v>188</v>
      </c>
      <c r="D207" s="0" t="s">
        <v>1269</v>
      </c>
      <c r="E207" s="0" t="s">
        <v>1270</v>
      </c>
      <c r="F207" s="0" t="b">
        <v>0</v>
      </c>
      <c r="G207" s="0" t="s">
        <v>114</v>
      </c>
      <c r="H207" s="0">
        <v>12</v>
      </c>
      <c r="I207" s="0">
        <v>53</v>
      </c>
      <c r="J207" s="0">
        <v>2242</v>
      </c>
      <c r="K207" s="1">
        <f>=HYPERLINK("10.175.1.14\MWEB.12\SEP\EntityDetails.10.175.1.14.MWEB.12.-.POST.2242.xlsx", "&lt;Detail&gt;")</f>
      </c>
      <c r="L207" s="1">
        <f>=HYPERLINK("10.175.1.14\MWEB.12\SEP\MetricGraphs.SEP.10.175.1.14.MWEB.12.xlsx", "&lt;Metrics&gt;")</f>
      </c>
      <c r="M207" s="0" t="s">
        <v>101</v>
      </c>
      <c r="N207" s="0" t="s">
        <v>145</v>
      </c>
      <c r="O207" s="0" t="s">
        <v>189</v>
      </c>
      <c r="P207" s="0" t="s">
        <v>1604</v>
      </c>
    </row>
    <row r="208">
      <c r="A208" s="0" t="s">
        <v>28</v>
      </c>
      <c r="B208" s="0" t="s">
        <v>30</v>
      </c>
      <c r="C208" s="0" t="s">
        <v>188</v>
      </c>
      <c r="D208" s="0" t="s">
        <v>1285</v>
      </c>
      <c r="E208" s="0" t="s">
        <v>976</v>
      </c>
      <c r="F208" s="0" t="b">
        <v>0</v>
      </c>
      <c r="G208" s="0" t="s">
        <v>114</v>
      </c>
      <c r="H208" s="0">
        <v>12</v>
      </c>
      <c r="I208" s="0">
        <v>53</v>
      </c>
      <c r="J208" s="0">
        <v>2531</v>
      </c>
      <c r="K208" s="1">
        <f>=HYPERLINK("10.175.1.14\MWEB.12\SEP\EntityDetails.10.175.1.14.MWEB.12.-connect-WEB.2531.xlsx", "&lt;Detail&gt;")</f>
      </c>
      <c r="L208" s="1">
        <f>=HYPERLINK("10.175.1.14\MWEB.12\SEP\MetricGraphs.SEP.10.175.1.14.MWEB.12.xlsx", "&lt;Metrics&gt;")</f>
      </c>
      <c r="M208" s="0" t="s">
        <v>101</v>
      </c>
      <c r="N208" s="0" t="s">
        <v>145</v>
      </c>
      <c r="O208" s="0" t="s">
        <v>189</v>
      </c>
      <c r="P208" s="0" t="s">
        <v>1605</v>
      </c>
    </row>
    <row r="209">
      <c r="A209" s="0" t="s">
        <v>28</v>
      </c>
      <c r="B209" s="0" t="s">
        <v>30</v>
      </c>
      <c r="C209" s="0" t="s">
        <v>188</v>
      </c>
      <c r="D209" s="0" t="s">
        <v>984</v>
      </c>
      <c r="E209" s="0" t="s">
        <v>976</v>
      </c>
      <c r="F209" s="0" t="b">
        <v>0</v>
      </c>
      <c r="G209" s="0" t="s">
        <v>114</v>
      </c>
      <c r="H209" s="0">
        <v>12</v>
      </c>
      <c r="I209" s="0">
        <v>53</v>
      </c>
      <c r="J209" s="0">
        <v>1962</v>
      </c>
      <c r="K209" s="1">
        <f>=HYPERLINK("10.175.1.14\MWEB.12\SEP\EntityDetails.10.175.1.14.MWEB.12.-HealthMonit.1962.xlsx", "&lt;Detail&gt;")</f>
      </c>
      <c r="L209" s="1">
        <f>=HYPERLINK("10.175.1.14\MWEB.12\SEP\MetricGraphs.SEP.10.175.1.14.MWEB.12.xlsx", "&lt;Metrics&gt;")</f>
      </c>
      <c r="M209" s="0" t="s">
        <v>101</v>
      </c>
      <c r="N209" s="0" t="s">
        <v>145</v>
      </c>
      <c r="O209" s="0" t="s">
        <v>189</v>
      </c>
      <c r="P209" s="0" t="s">
        <v>1606</v>
      </c>
    </row>
    <row r="210">
      <c r="A210" s="0" t="s">
        <v>28</v>
      </c>
      <c r="B210" s="0" t="s">
        <v>30</v>
      </c>
      <c r="C210" s="0" t="s">
        <v>188</v>
      </c>
      <c r="D210" s="0" t="s">
        <v>1026</v>
      </c>
      <c r="E210" s="0" t="s">
        <v>976</v>
      </c>
      <c r="F210" s="0" t="b">
        <v>0</v>
      </c>
      <c r="G210" s="0" t="s">
        <v>114</v>
      </c>
      <c r="H210" s="0">
        <v>12</v>
      </c>
      <c r="I210" s="0">
        <v>53</v>
      </c>
      <c r="J210" s="0">
        <v>2241</v>
      </c>
      <c r="K210" s="1">
        <f>=HYPERLINK("10.175.1.14\MWEB.12\SEP\EntityDetails.10.175.1.14.MWEB.12.-management-.2241.xlsx", "&lt;Detail&gt;")</f>
      </c>
      <c r="L210" s="1">
        <f>=HYPERLINK("10.175.1.14\MWEB.12\SEP\MetricGraphs.SEP.10.175.1.14.MWEB.12.xlsx", "&lt;Metrics&gt;")</f>
      </c>
      <c r="M210" s="0" t="s">
        <v>101</v>
      </c>
      <c r="N210" s="0" t="s">
        <v>145</v>
      </c>
      <c r="O210" s="0" t="s">
        <v>189</v>
      </c>
      <c r="P210" s="0" t="s">
        <v>1607</v>
      </c>
    </row>
    <row r="211">
      <c r="A211" s="0" t="s">
        <v>28</v>
      </c>
      <c r="B211" s="0" t="s">
        <v>30</v>
      </c>
      <c r="C211" s="0" t="s">
        <v>188</v>
      </c>
      <c r="D211" s="0" t="s">
        <v>1099</v>
      </c>
      <c r="E211" s="0" t="s">
        <v>976</v>
      </c>
      <c r="F211" s="0" t="b">
        <v>0</v>
      </c>
      <c r="G211" s="0" t="s">
        <v>114</v>
      </c>
      <c r="H211" s="0">
        <v>12</v>
      </c>
      <c r="I211" s="0">
        <v>53</v>
      </c>
      <c r="J211" s="0">
        <v>2250</v>
      </c>
      <c r="K211" s="1">
        <f>=HYPERLINK("10.175.1.14\MWEB.12\SEP\EntityDetails.10.175.1.14.MWEB.12.-master-mana.2250.xlsx", "&lt;Detail&gt;")</f>
      </c>
      <c r="L211" s="1">
        <f>=HYPERLINK("10.175.1.14\MWEB.12\SEP\MetricGraphs.SEP.10.175.1.14.MWEB.12.xlsx", "&lt;Metrics&gt;")</f>
      </c>
      <c r="M211" s="0" t="s">
        <v>101</v>
      </c>
      <c r="N211" s="0" t="s">
        <v>145</v>
      </c>
      <c r="O211" s="0" t="s">
        <v>189</v>
      </c>
      <c r="P211" s="0" t="s">
        <v>1608</v>
      </c>
    </row>
    <row r="212">
      <c r="A212" s="0" t="s">
        <v>28</v>
      </c>
      <c r="B212" s="0" t="s">
        <v>30</v>
      </c>
      <c r="C212" s="0" t="s">
        <v>188</v>
      </c>
      <c r="D212" s="0" t="s">
        <v>1526</v>
      </c>
      <c r="E212" s="0" t="s">
        <v>976</v>
      </c>
      <c r="F212" s="0" t="b">
        <v>0</v>
      </c>
      <c r="G212" s="0" t="s">
        <v>114</v>
      </c>
      <c r="H212" s="0">
        <v>12</v>
      </c>
      <c r="I212" s="0">
        <v>53</v>
      </c>
      <c r="J212" s="0">
        <v>2249</v>
      </c>
      <c r="K212" s="1">
        <f>=HYPERLINK("10.175.1.14\MWEB.12\SEP\EntityDetails.10.175.1.14.MWEB.12.-master-WEB-.2249.xlsx", "&lt;Detail&gt;")</f>
      </c>
      <c r="L212" s="1">
        <f>=HYPERLINK("10.175.1.14\MWEB.12\SEP\MetricGraphs.SEP.10.175.1.14.MWEB.12.xlsx", "&lt;Metrics&gt;")</f>
      </c>
      <c r="M212" s="0" t="s">
        <v>101</v>
      </c>
      <c r="N212" s="0" t="s">
        <v>145</v>
      </c>
      <c r="O212" s="0" t="s">
        <v>189</v>
      </c>
      <c r="P212" s="0" t="s">
        <v>1609</v>
      </c>
    </row>
    <row r="213">
      <c r="A213" s="0" t="s">
        <v>28</v>
      </c>
      <c r="B213" s="0" t="s">
        <v>30</v>
      </c>
      <c r="C213" s="0" t="s">
        <v>190</v>
      </c>
      <c r="D213" s="0" t="s">
        <v>984</v>
      </c>
      <c r="E213" s="0" t="s">
        <v>976</v>
      </c>
      <c r="F213" s="0" t="b">
        <v>0</v>
      </c>
      <c r="G213" s="0" t="s">
        <v>114</v>
      </c>
      <c r="H213" s="0">
        <v>12</v>
      </c>
      <c r="I213" s="0">
        <v>56</v>
      </c>
      <c r="J213" s="0">
        <v>2059</v>
      </c>
      <c r="K213" s="1">
        <f>=HYPERLINK("10.175.1.14\MWEB.12\SEP\EntityDetails.10.175.1.14.MWEB.12.-HealthMonit.2059.xlsx", "&lt;Detail&gt;")</f>
      </c>
      <c r="L213" s="1">
        <f>=HYPERLINK("10.175.1.14\MWEB.12\SEP\MetricGraphs.SEP.10.175.1.14.MWEB.12.xlsx", "&lt;Metrics&gt;")</f>
      </c>
      <c r="M213" s="0" t="s">
        <v>101</v>
      </c>
      <c r="N213" s="0" t="s">
        <v>145</v>
      </c>
      <c r="O213" s="0" t="s">
        <v>191</v>
      </c>
      <c r="P213" s="0" t="s">
        <v>1610</v>
      </c>
    </row>
    <row r="214">
      <c r="A214" s="0" t="s">
        <v>28</v>
      </c>
      <c r="B214" s="0" t="s">
        <v>30</v>
      </c>
      <c r="C214" s="0" t="s">
        <v>194</v>
      </c>
      <c r="D214" s="0" t="s">
        <v>1269</v>
      </c>
      <c r="E214" s="0" t="s">
        <v>1270</v>
      </c>
      <c r="F214" s="0" t="b">
        <v>0</v>
      </c>
      <c r="G214" s="0" t="s">
        <v>114</v>
      </c>
      <c r="H214" s="0">
        <v>12</v>
      </c>
      <c r="I214" s="0">
        <v>55</v>
      </c>
      <c r="J214" s="0">
        <v>3177</v>
      </c>
      <c r="K214" s="1">
        <f>=HYPERLINK("10.175.1.14\MWEB.12\SEP\EntityDetails.10.175.1.14.MWEB.12.-.POST.3177.xlsx", "&lt;Detail&gt;")</f>
      </c>
      <c r="L214" s="1">
        <f>=HYPERLINK("10.175.1.14\MWEB.12\SEP\MetricGraphs.SEP.10.175.1.14.MWEB.12.xlsx", "&lt;Metrics&gt;")</f>
      </c>
      <c r="M214" s="0" t="s">
        <v>101</v>
      </c>
      <c r="N214" s="0" t="s">
        <v>145</v>
      </c>
      <c r="O214" s="0" t="s">
        <v>195</v>
      </c>
      <c r="P214" s="0" t="s">
        <v>1611</v>
      </c>
    </row>
    <row r="215">
      <c r="A215" s="0" t="s">
        <v>28</v>
      </c>
      <c r="B215" s="0" t="s">
        <v>30</v>
      </c>
      <c r="C215" s="0" t="s">
        <v>194</v>
      </c>
      <c r="D215" s="0" t="s">
        <v>1255</v>
      </c>
      <c r="E215" s="0" t="s">
        <v>976</v>
      </c>
      <c r="F215" s="0" t="b">
        <v>0</v>
      </c>
      <c r="G215" s="0" t="s">
        <v>114</v>
      </c>
      <c r="H215" s="0">
        <v>12</v>
      </c>
      <c r="I215" s="0">
        <v>55</v>
      </c>
      <c r="J215" s="0">
        <v>2281</v>
      </c>
      <c r="K215" s="1">
        <f>=HYPERLINK("10.175.1.14\MWEB.12\SEP\EntityDetails.10.175.1.14.MWEB.12.-bea_wls_int.2281.xlsx", "&lt;Detail&gt;")</f>
      </c>
      <c r="L215" s="1">
        <f>=HYPERLINK("10.175.1.14\MWEB.12\SEP\MetricGraphs.SEP.10.175.1.14.MWEB.12.xlsx", "&lt;Metrics&gt;")</f>
      </c>
      <c r="M215" s="0" t="s">
        <v>101</v>
      </c>
      <c r="N215" s="0" t="s">
        <v>145</v>
      </c>
      <c r="O215" s="0" t="s">
        <v>195</v>
      </c>
      <c r="P215" s="0" t="s">
        <v>1612</v>
      </c>
    </row>
    <row r="216">
      <c r="A216" s="0" t="s">
        <v>28</v>
      </c>
      <c r="B216" s="0" t="s">
        <v>30</v>
      </c>
      <c r="C216" s="0" t="s">
        <v>194</v>
      </c>
      <c r="D216" s="0" t="s">
        <v>1022</v>
      </c>
      <c r="E216" s="0" t="s">
        <v>976</v>
      </c>
      <c r="F216" s="0" t="b">
        <v>0</v>
      </c>
      <c r="G216" s="0" t="s">
        <v>114</v>
      </c>
      <c r="H216" s="0">
        <v>12</v>
      </c>
      <c r="I216" s="0">
        <v>55</v>
      </c>
      <c r="J216" s="0">
        <v>2055</v>
      </c>
      <c r="K216" s="1">
        <f>=HYPERLINK("10.175.1.14\MWEB.12\SEP\EntityDetails.10.175.1.14.MWEB.12.-IPJSETTLEME.2055.xlsx", "&lt;Detail&gt;")</f>
      </c>
      <c r="L216" s="1">
        <f>=HYPERLINK("10.175.1.14\MWEB.12\SEP\MetricGraphs.SEP.10.175.1.14.MWEB.12.xlsx", "&lt;Metrics&gt;")</f>
      </c>
      <c r="M216" s="0" t="s">
        <v>101</v>
      </c>
      <c r="N216" s="0" t="s">
        <v>145</v>
      </c>
      <c r="O216" s="0" t="s">
        <v>195</v>
      </c>
      <c r="P216" s="0" t="s">
        <v>1613</v>
      </c>
    </row>
    <row r="217">
      <c r="A217" s="0" t="s">
        <v>28</v>
      </c>
      <c r="B217" s="0" t="s">
        <v>30</v>
      </c>
      <c r="C217" s="0" t="s">
        <v>194</v>
      </c>
      <c r="D217" s="0" t="s">
        <v>1026</v>
      </c>
      <c r="E217" s="0" t="s">
        <v>976</v>
      </c>
      <c r="F217" s="0" t="b">
        <v>0</v>
      </c>
      <c r="G217" s="0" t="s">
        <v>114</v>
      </c>
      <c r="H217" s="0">
        <v>12</v>
      </c>
      <c r="I217" s="0">
        <v>55</v>
      </c>
      <c r="J217" s="0">
        <v>3176</v>
      </c>
      <c r="K217" s="1">
        <f>=HYPERLINK("10.175.1.14\MWEB.12\SEP\EntityDetails.10.175.1.14.MWEB.12.-management-.3176.xlsx", "&lt;Detail&gt;")</f>
      </c>
      <c r="L217" s="1">
        <f>=HYPERLINK("10.175.1.14\MWEB.12\SEP\MetricGraphs.SEP.10.175.1.14.MWEB.12.xlsx", "&lt;Metrics&gt;")</f>
      </c>
      <c r="M217" s="0" t="s">
        <v>101</v>
      </c>
      <c r="N217" s="0" t="s">
        <v>145</v>
      </c>
      <c r="O217" s="0" t="s">
        <v>195</v>
      </c>
      <c r="P217" s="0" t="s">
        <v>1614</v>
      </c>
    </row>
    <row r="218">
      <c r="A218" s="0" t="s">
        <v>28</v>
      </c>
      <c r="B218" s="0" t="s">
        <v>30</v>
      </c>
      <c r="C218" s="0" t="s">
        <v>194</v>
      </c>
      <c r="D218" s="0" t="s">
        <v>1546</v>
      </c>
      <c r="E218" s="0" t="s">
        <v>976</v>
      </c>
      <c r="F218" s="0" t="b">
        <v>0</v>
      </c>
      <c r="G218" s="0" t="s">
        <v>114</v>
      </c>
      <c r="H218" s="0">
        <v>12</v>
      </c>
      <c r="I218" s="0">
        <v>55</v>
      </c>
      <c r="J218" s="0">
        <v>3055</v>
      </c>
      <c r="K218" s="1">
        <f>=HYPERLINK("10.175.1.14\MWEB.12\SEP\EntityDetails.10.175.1.14.MWEB.12.-weblogic-in.3055.xlsx", "&lt;Detail&gt;")</f>
      </c>
      <c r="L218" s="1">
        <f>=HYPERLINK("10.175.1.14\MWEB.12\SEP\MetricGraphs.SEP.10.175.1.14.MWEB.12.xlsx", "&lt;Metrics&gt;")</f>
      </c>
      <c r="M218" s="0" t="s">
        <v>101</v>
      </c>
      <c r="N218" s="0" t="s">
        <v>145</v>
      </c>
      <c r="O218" s="0" t="s">
        <v>195</v>
      </c>
      <c r="P218" s="0" t="s">
        <v>1615</v>
      </c>
    </row>
    <row r="219">
      <c r="A219" s="0" t="s">
        <v>28</v>
      </c>
      <c r="B219" s="0" t="s">
        <v>30</v>
      </c>
      <c r="C219" s="0" t="s">
        <v>194</v>
      </c>
      <c r="D219" s="0" t="s">
        <v>1570</v>
      </c>
      <c r="E219" s="0" t="s">
        <v>944</v>
      </c>
      <c r="F219" s="0" t="b">
        <v>0</v>
      </c>
      <c r="G219" s="0" t="s">
        <v>114</v>
      </c>
      <c r="H219" s="0">
        <v>12</v>
      </c>
      <c r="I219" s="0">
        <v>55</v>
      </c>
      <c r="J219" s="0">
        <v>3184</v>
      </c>
      <c r="K219" s="1">
        <f>=HYPERLINK("10.175.1.14\MWEB.12\SEP\EntityDetails.10.175.1.14.MWEB.12.WlcFgw7Recov.3184.xlsx", "&lt;Detail&gt;")</f>
      </c>
      <c r="L219" s="1">
        <f>=HYPERLINK("10.175.1.14\MWEB.12\SEP\MetricGraphs.SEP.10.175.1.14.MWEB.12.xlsx", "&lt;Metrics&gt;")</f>
      </c>
      <c r="M219" s="0" t="s">
        <v>101</v>
      </c>
      <c r="N219" s="0" t="s">
        <v>145</v>
      </c>
      <c r="O219" s="0" t="s">
        <v>195</v>
      </c>
      <c r="P219" s="0" t="s">
        <v>1616</v>
      </c>
    </row>
    <row r="220">
      <c r="A220" s="0" t="s">
        <v>28</v>
      </c>
      <c r="B220" s="0" t="s">
        <v>30</v>
      </c>
      <c r="C220" s="0" t="s">
        <v>196</v>
      </c>
      <c r="D220" s="0" t="s">
        <v>1261</v>
      </c>
      <c r="E220" s="0" t="s">
        <v>976</v>
      </c>
      <c r="F220" s="0" t="b">
        <v>0</v>
      </c>
      <c r="G220" s="0" t="s">
        <v>114</v>
      </c>
      <c r="H220" s="0">
        <v>12</v>
      </c>
      <c r="I220" s="0">
        <v>47</v>
      </c>
      <c r="J220" s="0">
        <v>1954</v>
      </c>
      <c r="K220" s="1">
        <f>=HYPERLINK("10.175.1.14\MWEB.12\SEP\EntityDetails.10.175.1.14.MWEB.12.-ondelay-Hea.1954.xlsx", "&lt;Detail&gt;")</f>
      </c>
      <c r="L220" s="1">
        <f>=HYPERLINK("10.175.1.14\MWEB.12\SEP\MetricGraphs.SEP.10.175.1.14.MWEB.12.xlsx", "&lt;Metrics&gt;")</f>
      </c>
      <c r="M220" s="0" t="s">
        <v>101</v>
      </c>
      <c r="N220" s="0" t="s">
        <v>145</v>
      </c>
      <c r="O220" s="0" t="s">
        <v>197</v>
      </c>
      <c r="P220" s="0" t="s">
        <v>1617</v>
      </c>
    </row>
    <row r="221">
      <c r="A221" s="0" t="s">
        <v>28</v>
      </c>
      <c r="B221" s="0" t="s">
        <v>30</v>
      </c>
      <c r="C221" s="0" t="s">
        <v>196</v>
      </c>
      <c r="D221" s="0" t="s">
        <v>1618</v>
      </c>
      <c r="E221" s="0" t="s">
        <v>976</v>
      </c>
      <c r="F221" s="0" t="b">
        <v>0</v>
      </c>
      <c r="G221" s="0" t="s">
        <v>114</v>
      </c>
      <c r="H221" s="0">
        <v>12</v>
      </c>
      <c r="I221" s="0">
        <v>47</v>
      </c>
      <c r="J221" s="0">
        <v>5038</v>
      </c>
      <c r="K221" s="1">
        <f>=HYPERLINK("10.175.1.14\MWEB.12\SEP\EntityDetails.10.175.1.14.MWEB.12.-ondelay-hel.5038.xlsx", "&lt;Detail&gt;")</f>
      </c>
      <c r="L221" s="1">
        <f>=HYPERLINK("10.175.1.14\MWEB.12\SEP\MetricGraphs.SEP.10.175.1.14.MWEB.12.xlsx", "&lt;Metrics&gt;")</f>
      </c>
      <c r="M221" s="0" t="s">
        <v>101</v>
      </c>
      <c r="N221" s="0" t="s">
        <v>145</v>
      </c>
      <c r="O221" s="0" t="s">
        <v>197</v>
      </c>
      <c r="P221" s="0" t="s">
        <v>1619</v>
      </c>
    </row>
    <row r="222">
      <c r="A222" s="0" t="s">
        <v>28</v>
      </c>
      <c r="B222" s="0" t="s">
        <v>30</v>
      </c>
      <c r="C222" s="0" t="s">
        <v>196</v>
      </c>
      <c r="D222" s="0" t="s">
        <v>1101</v>
      </c>
      <c r="E222" s="0" t="s">
        <v>976</v>
      </c>
      <c r="F222" s="0" t="b">
        <v>0</v>
      </c>
      <c r="G222" s="0" t="s">
        <v>114</v>
      </c>
      <c r="H222" s="0">
        <v>12</v>
      </c>
      <c r="I222" s="0">
        <v>47</v>
      </c>
      <c r="J222" s="0">
        <v>2255</v>
      </c>
      <c r="K222" s="1">
        <f>=HYPERLINK("10.175.1.14\MWEB.12\SEP\EntityDetails.10.175.1.14.MWEB.12.-ondelay-odc.2255.xlsx", "&lt;Detail&gt;")</f>
      </c>
      <c r="L222" s="1">
        <f>=HYPERLINK("10.175.1.14\MWEB.12\SEP\MetricGraphs.SEP.10.175.1.14.MWEB.12.xlsx", "&lt;Metrics&gt;")</f>
      </c>
      <c r="M222" s="0" t="s">
        <v>101</v>
      </c>
      <c r="N222" s="0" t="s">
        <v>145</v>
      </c>
      <c r="O222" s="0" t="s">
        <v>197</v>
      </c>
      <c r="P222" s="0" t="s">
        <v>1620</v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89</v>
      </c>
      <c r="D4" s="0" t="s">
        <v>90</v>
      </c>
      <c r="E4" s="0" t="s">
        <v>91</v>
      </c>
      <c r="F4" s="0" t="s">
        <v>92</v>
      </c>
      <c r="G4" s="0" t="s">
        <v>93</v>
      </c>
      <c r="H4" s="0" t="s">
        <v>94</v>
      </c>
      <c r="I4" s="0" t="s">
        <v>95</v>
      </c>
      <c r="J4" s="0" t="s">
        <v>96</v>
      </c>
      <c r="K4" s="0" t="s">
        <v>97</v>
      </c>
      <c r="L4" s="0" t="s">
        <v>98</v>
      </c>
    </row>
    <row r="5">
      <c r="A5" s="0" t="s">
        <v>28</v>
      </c>
      <c r="B5" s="0" t="s">
        <v>99</v>
      </c>
      <c r="C5" s="0" t="s">
        <v>100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101</v>
      </c>
    </row>
  </sheetData>
  <headerFooter/>
  <tableParts>
    <tablePart r:id="rId1"/>
  </tableParts>
</worksheet>
</file>

<file path=xl/worksheets/sheet3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=HYPERLINK("#'11.SEPs'!A1", "&lt;Go&gt;")</f>
      </c>
    </row>
  </sheetData>
  <headerFooter/>
  <drawing r:id="rId2"/>
</worksheet>
</file>

<file path=xl/worksheets/sheet31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=HYPERLINK("#'11.SEPs'!A1", "&lt;Go&gt;")</f>
      </c>
    </row>
  </sheetData>
  <headerFooter/>
</worksheet>
</file>

<file path=xl/worksheets/sheet32.xml><?xml version="1.0" encoding="utf-8"?>
<worksheet xmlns:r="http://schemas.openxmlformats.org/officeDocument/2006/relationships" xmlns="http://schemas.openxmlformats.org/spreadsheetml/2006/main">
  <dimension ref="A1:U252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5" customWidth="1"/>
    <col min="3" max="3" width="15" customWidth="1"/>
    <col min="4" max="4" width="20" customWidth="1"/>
    <col min="5" max="5" width="10" customWidth="1"/>
    <col min="6" max="6" width="25" customWidth="1"/>
    <col min="7" max="7" width="25" customWidth="1"/>
    <col min="8" max="8" width="20" customWidth="1"/>
    <col min="9" max="9" width="20" customWidth="1"/>
    <col min="10" max="10" width="20" customWidth="1"/>
    <col min="11" max="11" width="20" customWidth="1"/>
    <col min="12" max="12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1621</v>
      </c>
      <c r="B2" s="1">
        <f>=HYPERLINK("#'12.Errors.Type'!A1", "&lt;Go&gt;")</f>
      </c>
    </row>
    <row r="3">
      <c r="A3" s="0" t="s">
        <v>1622</v>
      </c>
      <c r="B3" s="1">
        <f>=HYPERLINK("#'12.Errors.Location'!A1", "&lt;Go&gt;")</f>
      </c>
    </row>
    <row r="4">
      <c r="A4" s="0" t="s">
        <v>23</v>
      </c>
      <c r="B4" s="0" t="s">
        <v>102</v>
      </c>
      <c r="C4" s="0" t="s">
        <v>147</v>
      </c>
      <c r="D4" s="0" t="s">
        <v>1623</v>
      </c>
      <c r="E4" s="0" t="s">
        <v>1624</v>
      </c>
      <c r="F4" s="0" t="s">
        <v>1625</v>
      </c>
      <c r="G4" s="0" t="s">
        <v>1626</v>
      </c>
      <c r="H4" s="0" t="s">
        <v>1627</v>
      </c>
      <c r="I4" s="0" t="s">
        <v>1628</v>
      </c>
      <c r="J4" s="0" t="s">
        <v>1629</v>
      </c>
      <c r="K4" s="0" t="s">
        <v>1630</v>
      </c>
      <c r="L4" s="0" t="s">
        <v>1631</v>
      </c>
      <c r="M4" s="0" t="s">
        <v>26</v>
      </c>
      <c r="N4" s="0" t="s">
        <v>150</v>
      </c>
      <c r="O4" s="0" t="s">
        <v>1632</v>
      </c>
      <c r="P4" s="0" t="s">
        <v>140</v>
      </c>
      <c r="Q4" s="0" t="s">
        <v>141</v>
      </c>
      <c r="R4" s="0" t="s">
        <v>98</v>
      </c>
      <c r="S4" s="0" t="s">
        <v>144</v>
      </c>
      <c r="T4" s="0" t="s">
        <v>151</v>
      </c>
      <c r="U4" s="0" t="s">
        <v>1633</v>
      </c>
    </row>
    <row r="5">
      <c r="A5" s="0" t="s">
        <v>28</v>
      </c>
      <c r="B5" s="0" t="s">
        <v>30</v>
      </c>
      <c r="C5" s="0" t="s">
        <v>156</v>
      </c>
      <c r="D5" s="0" t="s">
        <v>1634</v>
      </c>
      <c r="E5" s="0" t="s">
        <v>1635</v>
      </c>
      <c r="F5" s="0">
        <v>0</v>
      </c>
      <c r="G5" s="0">
        <v>1</v>
      </c>
      <c r="H5" s="0" t="s">
        <v>1634</v>
      </c>
      <c r="I5" s="0" t="s">
        <v>114</v>
      </c>
      <c r="J5" s="0" t="s">
        <v>114</v>
      </c>
      <c r="K5" s="0" t="s">
        <v>114</v>
      </c>
      <c r="L5" s="0" t="s">
        <v>114</v>
      </c>
      <c r="M5" s="0">
        <v>12</v>
      </c>
      <c r="N5" s="0">
        <v>42</v>
      </c>
      <c r="O5" s="0">
        <v>-331323</v>
      </c>
      <c r="P5" s="1">
        <f>=HYPERLINK("10.175.1.14\MWEB.12\ERR\EntityDetails.10.175.1.14.MWEB.12.ClassNotFoun.-331323.xlsx", "&lt;Detail&gt;")</f>
      </c>
      <c r="Q5" s="1">
        <f>=HYPERLINK("10.175.1.14\MWEB.12\ERR\MetricGraphs.ERR.10.175.1.14.MWEB.12.xlsx", "&lt;Metrics&gt;")</f>
      </c>
      <c r="R5" s="0" t="s">
        <v>101</v>
      </c>
      <c r="S5" s="0" t="s">
        <v>145</v>
      </c>
      <c r="T5" s="0" t="s">
        <v>157</v>
      </c>
      <c r="U5" s="0" t="s">
        <v>114</v>
      </c>
    </row>
    <row r="6">
      <c r="A6" s="0" t="s">
        <v>28</v>
      </c>
      <c r="B6" s="0" t="s">
        <v>30</v>
      </c>
      <c r="C6" s="0" t="s">
        <v>156</v>
      </c>
      <c r="D6" s="0" t="s">
        <v>1636</v>
      </c>
      <c r="E6" s="0" t="s">
        <v>1635</v>
      </c>
      <c r="F6" s="0">
        <v>0</v>
      </c>
      <c r="G6" s="0">
        <v>4</v>
      </c>
      <c r="H6" s="0" t="s">
        <v>1637</v>
      </c>
      <c r="I6" s="0" t="s">
        <v>1638</v>
      </c>
      <c r="J6" s="0" t="s">
        <v>1639</v>
      </c>
      <c r="K6" s="0" t="s">
        <v>114</v>
      </c>
      <c r="L6" s="0" t="s">
        <v>114</v>
      </c>
      <c r="M6" s="0">
        <v>12</v>
      </c>
      <c r="N6" s="0">
        <v>42</v>
      </c>
      <c r="O6" s="0">
        <v>-361013</v>
      </c>
      <c r="P6" s="1">
        <f>=HYPERLINK("10.175.1.14\MWEB.12\ERR\EntityDetails.10.175.1.14.MWEB.12.com.mysql.cj.-361013.xlsx", "&lt;Detail&gt;")</f>
      </c>
      <c r="Q6" s="1">
        <f>=HYPERLINK("10.175.1.14\MWEB.12\ERR\MetricGraphs.ERR.10.175.1.14.MWEB.12.xlsx", "&lt;Metrics&gt;")</f>
      </c>
      <c r="R6" s="0" t="s">
        <v>101</v>
      </c>
      <c r="S6" s="0" t="s">
        <v>145</v>
      </c>
      <c r="T6" s="0" t="s">
        <v>157</v>
      </c>
      <c r="U6" s="0" t="s">
        <v>114</v>
      </c>
    </row>
    <row r="7">
      <c r="A7" s="0" t="s">
        <v>28</v>
      </c>
      <c r="B7" s="0" t="s">
        <v>30</v>
      </c>
      <c r="C7" s="0" t="s">
        <v>156</v>
      </c>
      <c r="D7" s="0" t="s">
        <v>1640</v>
      </c>
      <c r="E7" s="0" t="s">
        <v>1635</v>
      </c>
      <c r="F7" s="0">
        <v>0</v>
      </c>
      <c r="G7" s="0">
        <v>4</v>
      </c>
      <c r="H7" s="0" t="s">
        <v>1637</v>
      </c>
      <c r="I7" s="0" t="s">
        <v>1638</v>
      </c>
      <c r="J7" s="0" t="s">
        <v>1641</v>
      </c>
      <c r="K7" s="0" t="s">
        <v>114</v>
      </c>
      <c r="L7" s="0" t="s">
        <v>114</v>
      </c>
      <c r="M7" s="0">
        <v>12</v>
      </c>
      <c r="N7" s="0">
        <v>42</v>
      </c>
      <c r="O7" s="0">
        <v>-361023</v>
      </c>
      <c r="P7" s="1">
        <f>=HYPERLINK("10.175.1.14\MWEB.12\ERR\EntityDetails.10.175.1.14.MWEB.12.com.mysql.cj.-361023.xlsx", "&lt;Detail&gt;")</f>
      </c>
      <c r="Q7" s="1">
        <f>=HYPERLINK("10.175.1.14\MWEB.12\ERR\MetricGraphs.ERR.10.175.1.14.MWEB.12.xlsx", "&lt;Metrics&gt;")</f>
      </c>
      <c r="R7" s="0" t="s">
        <v>101</v>
      </c>
      <c r="S7" s="0" t="s">
        <v>145</v>
      </c>
      <c r="T7" s="0" t="s">
        <v>157</v>
      </c>
      <c r="U7" s="0" t="s">
        <v>114</v>
      </c>
    </row>
    <row r="8">
      <c r="A8" s="0" t="s">
        <v>28</v>
      </c>
      <c r="B8" s="0" t="s">
        <v>30</v>
      </c>
      <c r="C8" s="0" t="s">
        <v>156</v>
      </c>
      <c r="D8" s="0" t="s">
        <v>1642</v>
      </c>
      <c r="E8" s="0" t="s">
        <v>1635</v>
      </c>
      <c r="F8" s="0">
        <v>0</v>
      </c>
      <c r="G8" s="0">
        <v>5</v>
      </c>
      <c r="H8" s="0" t="s">
        <v>1637</v>
      </c>
      <c r="I8" s="0" t="s">
        <v>1638</v>
      </c>
      <c r="J8" s="0" t="s">
        <v>1643</v>
      </c>
      <c r="K8" s="0" t="s">
        <v>1641</v>
      </c>
      <c r="L8" s="0" t="s">
        <v>114</v>
      </c>
      <c r="M8" s="0">
        <v>12</v>
      </c>
      <c r="N8" s="0">
        <v>42</v>
      </c>
      <c r="O8" s="0">
        <v>-511432</v>
      </c>
      <c r="P8" s="1">
        <f>=HYPERLINK("10.175.1.14\MWEB.12\ERR\EntityDetails.10.175.1.14.MWEB.12.com.mysql.cj.-511432.xlsx", "&lt;Detail&gt;")</f>
      </c>
      <c r="Q8" s="1">
        <f>=HYPERLINK("10.175.1.14\MWEB.12\ERR\MetricGraphs.ERR.10.175.1.14.MWEB.12.xlsx", "&lt;Metrics&gt;")</f>
      </c>
      <c r="R8" s="0" t="s">
        <v>101</v>
      </c>
      <c r="S8" s="0" t="s">
        <v>145</v>
      </c>
      <c r="T8" s="0" t="s">
        <v>157</v>
      </c>
      <c r="U8" s="0" t="s">
        <v>114</v>
      </c>
    </row>
    <row r="9">
      <c r="A9" s="0" t="s">
        <v>28</v>
      </c>
      <c r="B9" s="0" t="s">
        <v>30</v>
      </c>
      <c r="C9" s="0" t="s">
        <v>156</v>
      </c>
      <c r="D9" s="0" t="s">
        <v>1644</v>
      </c>
      <c r="E9" s="0" t="s">
        <v>1635</v>
      </c>
      <c r="F9" s="0">
        <v>0</v>
      </c>
      <c r="G9" s="0">
        <v>2</v>
      </c>
      <c r="H9" s="0" t="s">
        <v>1645</v>
      </c>
      <c r="I9" s="0" t="s">
        <v>114</v>
      </c>
      <c r="J9" s="0" t="s">
        <v>114</v>
      </c>
      <c r="K9" s="0" t="s">
        <v>114</v>
      </c>
      <c r="L9" s="0" t="s">
        <v>114</v>
      </c>
      <c r="M9" s="0">
        <v>12</v>
      </c>
      <c r="N9" s="0">
        <v>42</v>
      </c>
      <c r="O9" s="0">
        <v>-510344</v>
      </c>
      <c r="P9" s="1">
        <f>=HYPERLINK("10.175.1.14\MWEB.12\ERR\EntityDetails.10.175.1.14.MWEB.12.com.mysql.cj.-510344.xlsx", "&lt;Detail&gt;")</f>
      </c>
      <c r="Q9" s="1">
        <f>=HYPERLINK("10.175.1.14\MWEB.12\ERR\MetricGraphs.ERR.10.175.1.14.MWEB.12.xlsx", "&lt;Metrics&gt;")</f>
      </c>
      <c r="R9" s="0" t="s">
        <v>101</v>
      </c>
      <c r="S9" s="0" t="s">
        <v>145</v>
      </c>
      <c r="T9" s="0" t="s">
        <v>157</v>
      </c>
      <c r="U9" s="0" t="s">
        <v>114</v>
      </c>
    </row>
    <row r="10">
      <c r="A10" s="0" t="s">
        <v>28</v>
      </c>
      <c r="B10" s="0" t="s">
        <v>30</v>
      </c>
      <c r="C10" s="0" t="s">
        <v>156</v>
      </c>
      <c r="D10" s="0" t="s">
        <v>1646</v>
      </c>
      <c r="E10" s="0" t="s">
        <v>1647</v>
      </c>
      <c r="F10" s="0">
        <v>400</v>
      </c>
      <c r="G10" s="0">
        <v>2</v>
      </c>
      <c r="H10" s="0" t="s">
        <v>1648</v>
      </c>
      <c r="I10" s="0" t="s">
        <v>1649</v>
      </c>
      <c r="J10" s="0" t="s">
        <v>114</v>
      </c>
      <c r="K10" s="0" t="s">
        <v>114</v>
      </c>
      <c r="L10" s="0" t="s">
        <v>114</v>
      </c>
      <c r="M10" s="0">
        <v>12</v>
      </c>
      <c r="N10" s="0">
        <v>42</v>
      </c>
      <c r="O10" s="0">
        <v>-361346</v>
      </c>
      <c r="P10" s="1">
        <f>=HYPERLINK("10.175.1.14\MWEB.12\ERR\EntityDetails.10.175.1.14.MWEB.12.HTTP Error C.-361346.xlsx", "&lt;Detail&gt;")</f>
      </c>
      <c r="Q10" s="1">
        <f>=HYPERLINK("10.175.1.14\MWEB.12\ERR\MetricGraphs.ERR.10.175.1.14.MWEB.12.xlsx", "&lt;Metrics&gt;")</f>
      </c>
      <c r="R10" s="0" t="s">
        <v>101</v>
      </c>
      <c r="S10" s="0" t="s">
        <v>145</v>
      </c>
      <c r="T10" s="0" t="s">
        <v>157</v>
      </c>
      <c r="U10" s="0" t="s">
        <v>114</v>
      </c>
    </row>
    <row r="11">
      <c r="A11" s="0" t="s">
        <v>28</v>
      </c>
      <c r="B11" s="0" t="s">
        <v>30</v>
      </c>
      <c r="C11" s="0" t="s">
        <v>156</v>
      </c>
      <c r="D11" s="0" t="s">
        <v>1650</v>
      </c>
      <c r="E11" s="0" t="s">
        <v>1647</v>
      </c>
      <c r="F11" s="0">
        <v>405</v>
      </c>
      <c r="G11" s="0">
        <v>2</v>
      </c>
      <c r="H11" s="0" t="s">
        <v>1648</v>
      </c>
      <c r="I11" s="0" t="s">
        <v>1651</v>
      </c>
      <c r="J11" s="0" t="s">
        <v>114</v>
      </c>
      <c r="K11" s="0" t="s">
        <v>114</v>
      </c>
      <c r="L11" s="0" t="s">
        <v>114</v>
      </c>
      <c r="M11" s="0">
        <v>12</v>
      </c>
      <c r="N11" s="0">
        <v>42</v>
      </c>
      <c r="O11" s="0">
        <v>-513185</v>
      </c>
      <c r="P11" s="1">
        <f>=HYPERLINK("10.175.1.14\MWEB.12\ERR\EntityDetails.10.175.1.14.MWEB.12.HTTP Error C.-513185.xlsx", "&lt;Detail&gt;")</f>
      </c>
      <c r="Q11" s="1">
        <f>=HYPERLINK("10.175.1.14\MWEB.12\ERR\MetricGraphs.ERR.10.175.1.14.MWEB.12.xlsx", "&lt;Metrics&gt;")</f>
      </c>
      <c r="R11" s="0" t="s">
        <v>101</v>
      </c>
      <c r="S11" s="0" t="s">
        <v>145</v>
      </c>
      <c r="T11" s="0" t="s">
        <v>157</v>
      </c>
      <c r="U11" s="0" t="s">
        <v>114</v>
      </c>
    </row>
    <row r="12">
      <c r="A12" s="0" t="s">
        <v>28</v>
      </c>
      <c r="B12" s="0" t="s">
        <v>30</v>
      </c>
      <c r="C12" s="0" t="s">
        <v>156</v>
      </c>
      <c r="D12" s="0" t="s">
        <v>1652</v>
      </c>
      <c r="E12" s="0" t="s">
        <v>1647</v>
      </c>
      <c r="F12" s="0">
        <v>501</v>
      </c>
      <c r="G12" s="0">
        <v>2</v>
      </c>
      <c r="H12" s="0" t="s">
        <v>1648</v>
      </c>
      <c r="I12" s="0" t="s">
        <v>1653</v>
      </c>
      <c r="J12" s="0" t="s">
        <v>114</v>
      </c>
      <c r="K12" s="0" t="s">
        <v>114</v>
      </c>
      <c r="L12" s="0" t="s">
        <v>114</v>
      </c>
      <c r="M12" s="0">
        <v>12</v>
      </c>
      <c r="N12" s="0">
        <v>42</v>
      </c>
      <c r="O12" s="0">
        <v>-513117</v>
      </c>
      <c r="P12" s="1">
        <f>=HYPERLINK("10.175.1.14\MWEB.12\ERR\EntityDetails.10.175.1.14.MWEB.12.HTTP Error C.-513117.xlsx", "&lt;Detail&gt;")</f>
      </c>
      <c r="Q12" s="1">
        <f>=HYPERLINK("10.175.1.14\MWEB.12\ERR\MetricGraphs.ERR.10.175.1.14.MWEB.12.xlsx", "&lt;Metrics&gt;")</f>
      </c>
      <c r="R12" s="0" t="s">
        <v>101</v>
      </c>
      <c r="S12" s="0" t="s">
        <v>145</v>
      </c>
      <c r="T12" s="0" t="s">
        <v>157</v>
      </c>
      <c r="U12" s="0" t="s">
        <v>114</v>
      </c>
    </row>
    <row r="13">
      <c r="A13" s="0" t="s">
        <v>28</v>
      </c>
      <c r="B13" s="0" t="s">
        <v>30</v>
      </c>
      <c r="C13" s="0" t="s">
        <v>156</v>
      </c>
      <c r="D13" s="0" t="s">
        <v>1654</v>
      </c>
      <c r="E13" s="0" t="s">
        <v>1647</v>
      </c>
      <c r="F13" s="0">
        <v>503</v>
      </c>
      <c r="G13" s="0">
        <v>2</v>
      </c>
      <c r="H13" s="0" t="s">
        <v>1648</v>
      </c>
      <c r="I13" s="0" t="s">
        <v>1655</v>
      </c>
      <c r="J13" s="0" t="s">
        <v>114</v>
      </c>
      <c r="K13" s="0" t="s">
        <v>114</v>
      </c>
      <c r="L13" s="0" t="s">
        <v>114</v>
      </c>
      <c r="M13" s="0">
        <v>12</v>
      </c>
      <c r="N13" s="0">
        <v>42</v>
      </c>
      <c r="O13" s="0">
        <v>-330545</v>
      </c>
      <c r="P13" s="1">
        <f>=HYPERLINK("10.175.1.14\MWEB.12\ERR\EntityDetails.10.175.1.14.MWEB.12.HTTP Error C.-330545.xlsx", "&lt;Detail&gt;")</f>
      </c>
      <c r="Q13" s="1">
        <f>=HYPERLINK("10.175.1.14\MWEB.12\ERR\MetricGraphs.ERR.10.175.1.14.MWEB.12.xlsx", "&lt;Metrics&gt;")</f>
      </c>
      <c r="R13" s="0" t="s">
        <v>101</v>
      </c>
      <c r="S13" s="0" t="s">
        <v>145</v>
      </c>
      <c r="T13" s="0" t="s">
        <v>157</v>
      </c>
      <c r="U13" s="0" t="s">
        <v>114</v>
      </c>
    </row>
    <row r="14">
      <c r="A14" s="0" t="s">
        <v>28</v>
      </c>
      <c r="B14" s="0" t="s">
        <v>30</v>
      </c>
      <c r="C14" s="0" t="s">
        <v>156</v>
      </c>
      <c r="D14" s="0" t="s">
        <v>1656</v>
      </c>
      <c r="E14" s="0" t="s">
        <v>1647</v>
      </c>
      <c r="F14" s="0">
        <v>505</v>
      </c>
      <c r="G14" s="0">
        <v>2</v>
      </c>
      <c r="H14" s="0" t="s">
        <v>1648</v>
      </c>
      <c r="I14" s="0" t="s">
        <v>1657</v>
      </c>
      <c r="J14" s="0" t="s">
        <v>114</v>
      </c>
      <c r="K14" s="0" t="s">
        <v>114</v>
      </c>
      <c r="L14" s="0" t="s">
        <v>114</v>
      </c>
      <c r="M14" s="0">
        <v>12</v>
      </c>
      <c r="N14" s="0">
        <v>42</v>
      </c>
      <c r="O14" s="0">
        <v>-513119</v>
      </c>
      <c r="P14" s="1">
        <f>=HYPERLINK("10.175.1.14\MWEB.12\ERR\EntityDetails.10.175.1.14.MWEB.12.HTTP Error C.-513119.xlsx", "&lt;Detail&gt;")</f>
      </c>
      <c r="Q14" s="1">
        <f>=HYPERLINK("10.175.1.14\MWEB.12\ERR\MetricGraphs.ERR.10.175.1.14.MWEB.12.xlsx", "&lt;Metrics&gt;")</f>
      </c>
      <c r="R14" s="0" t="s">
        <v>101</v>
      </c>
      <c r="S14" s="0" t="s">
        <v>145</v>
      </c>
      <c r="T14" s="0" t="s">
        <v>157</v>
      </c>
      <c r="U14" s="0" t="s">
        <v>114</v>
      </c>
    </row>
    <row r="15">
      <c r="A15" s="0" t="s">
        <v>28</v>
      </c>
      <c r="B15" s="0" t="s">
        <v>30</v>
      </c>
      <c r="C15" s="0" t="s">
        <v>156</v>
      </c>
      <c r="D15" s="0" t="s">
        <v>1658</v>
      </c>
      <c r="E15" s="0" t="s">
        <v>1647</v>
      </c>
      <c r="F15" s="0">
        <v>500</v>
      </c>
      <c r="G15" s="0">
        <v>2</v>
      </c>
      <c r="H15" s="0" t="s">
        <v>1659</v>
      </c>
      <c r="I15" s="0" t="s">
        <v>1660</v>
      </c>
      <c r="J15" s="0" t="s">
        <v>114</v>
      </c>
      <c r="K15" s="0" t="s">
        <v>114</v>
      </c>
      <c r="L15" s="0" t="s">
        <v>114</v>
      </c>
      <c r="M15" s="0">
        <v>12</v>
      </c>
      <c r="N15" s="0">
        <v>42</v>
      </c>
      <c r="O15" s="0">
        <v>-331220</v>
      </c>
      <c r="P15" s="1">
        <f>=HYPERLINK("10.175.1.14\MWEB.12\ERR\EntityDetails.10.175.1.14.MWEB.12.Internal Ser.-331220.xlsx", "&lt;Detail&gt;")</f>
      </c>
      <c r="Q15" s="1">
        <f>=HYPERLINK("10.175.1.14\MWEB.12\ERR\MetricGraphs.ERR.10.175.1.14.MWEB.12.xlsx", "&lt;Metrics&gt;")</f>
      </c>
      <c r="R15" s="0" t="s">
        <v>101</v>
      </c>
      <c r="S15" s="0" t="s">
        <v>145</v>
      </c>
      <c r="T15" s="0" t="s">
        <v>157</v>
      </c>
      <c r="U15" s="0" t="s">
        <v>114</v>
      </c>
    </row>
    <row r="16">
      <c r="A16" s="0" t="s">
        <v>28</v>
      </c>
      <c r="B16" s="0" t="s">
        <v>30</v>
      </c>
      <c r="C16" s="0" t="s">
        <v>156</v>
      </c>
      <c r="D16" s="0" t="s">
        <v>1661</v>
      </c>
      <c r="E16" s="0" t="s">
        <v>1635</v>
      </c>
      <c r="F16" s="0">
        <v>0</v>
      </c>
      <c r="G16" s="0">
        <v>2</v>
      </c>
      <c r="H16" s="0" t="s">
        <v>1662</v>
      </c>
      <c r="I16" s="0" t="s">
        <v>114</v>
      </c>
      <c r="J16" s="0" t="s">
        <v>114</v>
      </c>
      <c r="K16" s="0" t="s">
        <v>114</v>
      </c>
      <c r="L16" s="0" t="s">
        <v>114</v>
      </c>
      <c r="M16" s="0">
        <v>12</v>
      </c>
      <c r="N16" s="0">
        <v>42</v>
      </c>
      <c r="O16" s="0">
        <v>-330804</v>
      </c>
      <c r="P16" s="1">
        <f>=HYPERLINK("10.175.1.14\MWEB.12\ERR\EntityDetails.10.175.1.14.MWEB.12.java.io.File.-330804.xlsx", "&lt;Detail&gt;")</f>
      </c>
      <c r="Q16" s="1">
        <f>=HYPERLINK("10.175.1.14\MWEB.12\ERR\MetricGraphs.ERR.10.175.1.14.MWEB.12.xlsx", "&lt;Metrics&gt;")</f>
      </c>
      <c r="R16" s="0" t="s">
        <v>101</v>
      </c>
      <c r="S16" s="0" t="s">
        <v>145</v>
      </c>
      <c r="T16" s="0" t="s">
        <v>157</v>
      </c>
      <c r="U16" s="0" t="s">
        <v>114</v>
      </c>
    </row>
    <row r="17">
      <c r="A17" s="0" t="s">
        <v>28</v>
      </c>
      <c r="B17" s="0" t="s">
        <v>30</v>
      </c>
      <c r="C17" s="0" t="s">
        <v>156</v>
      </c>
      <c r="D17" s="0" t="s">
        <v>1663</v>
      </c>
      <c r="E17" s="0" t="s">
        <v>1635</v>
      </c>
      <c r="F17" s="0">
        <v>0</v>
      </c>
      <c r="G17" s="0">
        <v>2</v>
      </c>
      <c r="H17" s="0" t="s">
        <v>1664</v>
      </c>
      <c r="I17" s="0" t="s">
        <v>114</v>
      </c>
      <c r="J17" s="0" t="s">
        <v>114</v>
      </c>
      <c r="K17" s="0" t="s">
        <v>114</v>
      </c>
      <c r="L17" s="0" t="s">
        <v>114</v>
      </c>
      <c r="M17" s="0">
        <v>12</v>
      </c>
      <c r="N17" s="0">
        <v>42</v>
      </c>
      <c r="O17" s="0">
        <v>-360697</v>
      </c>
      <c r="P17" s="1">
        <f>=HYPERLINK("10.175.1.14\MWEB.12\ERR\EntityDetails.10.175.1.14.MWEB.12.java.lang.Nu.-360697.xlsx", "&lt;Detail&gt;")</f>
      </c>
      <c r="Q17" s="1">
        <f>=HYPERLINK("10.175.1.14\MWEB.12\ERR\MetricGraphs.ERR.10.175.1.14.MWEB.12.xlsx", "&lt;Metrics&gt;")</f>
      </c>
      <c r="R17" s="0" t="s">
        <v>101</v>
      </c>
      <c r="S17" s="0" t="s">
        <v>145</v>
      </c>
      <c r="T17" s="0" t="s">
        <v>157</v>
      </c>
      <c r="U17" s="0" t="s">
        <v>114</v>
      </c>
    </row>
    <row r="18">
      <c r="A18" s="0" t="s">
        <v>28</v>
      </c>
      <c r="B18" s="0" t="s">
        <v>30</v>
      </c>
      <c r="C18" s="0" t="s">
        <v>156</v>
      </c>
      <c r="D18" s="0" t="s">
        <v>1665</v>
      </c>
      <c r="E18" s="0" t="s">
        <v>1635</v>
      </c>
      <c r="F18" s="0">
        <v>0</v>
      </c>
      <c r="G18" s="0">
        <v>2</v>
      </c>
      <c r="H18" s="0" t="s">
        <v>1666</v>
      </c>
      <c r="I18" s="0" t="s">
        <v>114</v>
      </c>
      <c r="J18" s="0" t="s">
        <v>114</v>
      </c>
      <c r="K18" s="0" t="s">
        <v>114</v>
      </c>
      <c r="L18" s="0" t="s">
        <v>114</v>
      </c>
      <c r="M18" s="0">
        <v>12</v>
      </c>
      <c r="N18" s="0">
        <v>42</v>
      </c>
      <c r="O18" s="0">
        <v>-330789</v>
      </c>
      <c r="P18" s="1">
        <f>=HYPERLINK("10.175.1.14\MWEB.12\ERR\EntityDetails.10.175.1.14.MWEB.12.java.net.Con.-330789.xlsx", "&lt;Detail&gt;")</f>
      </c>
      <c r="Q18" s="1">
        <f>=HYPERLINK("10.175.1.14\MWEB.12\ERR\MetricGraphs.ERR.10.175.1.14.MWEB.12.xlsx", "&lt;Metrics&gt;")</f>
      </c>
      <c r="R18" s="0" t="s">
        <v>101</v>
      </c>
      <c r="S18" s="0" t="s">
        <v>145</v>
      </c>
      <c r="T18" s="0" t="s">
        <v>157</v>
      </c>
      <c r="U18" s="0" t="s">
        <v>114</v>
      </c>
    </row>
    <row r="19">
      <c r="A19" s="0" t="s">
        <v>28</v>
      </c>
      <c r="B19" s="0" t="s">
        <v>30</v>
      </c>
      <c r="C19" s="0" t="s">
        <v>156</v>
      </c>
      <c r="D19" s="0" t="s">
        <v>1667</v>
      </c>
      <c r="E19" s="0" t="s">
        <v>1635</v>
      </c>
      <c r="F19" s="0">
        <v>0</v>
      </c>
      <c r="G19" s="0">
        <v>2</v>
      </c>
      <c r="H19" s="0" t="s">
        <v>1668</v>
      </c>
      <c r="I19" s="0" t="s">
        <v>114</v>
      </c>
      <c r="J19" s="0" t="s">
        <v>114</v>
      </c>
      <c r="K19" s="0" t="s">
        <v>114</v>
      </c>
      <c r="L19" s="0" t="s">
        <v>114</v>
      </c>
      <c r="M19" s="0">
        <v>12</v>
      </c>
      <c r="N19" s="0">
        <v>42</v>
      </c>
      <c r="O19" s="0">
        <v>-361763</v>
      </c>
      <c r="P19" s="1">
        <f>=HYPERLINK("10.175.1.14\MWEB.12\ERR\EntityDetails.10.175.1.14.MWEB.12.java.rmi.Con.-361763.xlsx", "&lt;Detail&gt;")</f>
      </c>
      <c r="Q19" s="1">
        <f>=HYPERLINK("10.175.1.14\MWEB.12\ERR\MetricGraphs.ERR.10.175.1.14.MWEB.12.xlsx", "&lt;Metrics&gt;")</f>
      </c>
      <c r="R19" s="0" t="s">
        <v>101</v>
      </c>
      <c r="S19" s="0" t="s">
        <v>145</v>
      </c>
      <c r="T19" s="0" t="s">
        <v>157</v>
      </c>
      <c r="U19" s="0" t="s">
        <v>114</v>
      </c>
    </row>
    <row r="20">
      <c r="A20" s="0" t="s">
        <v>28</v>
      </c>
      <c r="B20" s="0" t="s">
        <v>30</v>
      </c>
      <c r="C20" s="0" t="s">
        <v>156</v>
      </c>
      <c r="D20" s="0" t="s">
        <v>1669</v>
      </c>
      <c r="E20" s="0" t="s">
        <v>1635</v>
      </c>
      <c r="F20" s="0">
        <v>0</v>
      </c>
      <c r="G20" s="0">
        <v>3</v>
      </c>
      <c r="H20" s="0" t="s">
        <v>1668</v>
      </c>
      <c r="I20" s="0" t="s">
        <v>1668</v>
      </c>
      <c r="J20" s="0" t="s">
        <v>114</v>
      </c>
      <c r="K20" s="0" t="s">
        <v>114</v>
      </c>
      <c r="L20" s="0" t="s">
        <v>114</v>
      </c>
      <c r="M20" s="0">
        <v>12</v>
      </c>
      <c r="N20" s="0">
        <v>42</v>
      </c>
      <c r="O20" s="0">
        <v>-361765</v>
      </c>
      <c r="P20" s="1">
        <f>=HYPERLINK("10.175.1.14\MWEB.12\ERR\EntityDetails.10.175.1.14.MWEB.12.java.rmi.Con.-361765.xlsx", "&lt;Detail&gt;")</f>
      </c>
      <c r="Q20" s="1">
        <f>=HYPERLINK("10.175.1.14\MWEB.12\ERR\MetricGraphs.ERR.10.175.1.14.MWEB.12.xlsx", "&lt;Metrics&gt;")</f>
      </c>
      <c r="R20" s="0" t="s">
        <v>101</v>
      </c>
      <c r="S20" s="0" t="s">
        <v>145</v>
      </c>
      <c r="T20" s="0" t="s">
        <v>157</v>
      </c>
      <c r="U20" s="0" t="s">
        <v>114</v>
      </c>
    </row>
    <row r="21">
      <c r="A21" s="0" t="s">
        <v>28</v>
      </c>
      <c r="B21" s="0" t="s">
        <v>30</v>
      </c>
      <c r="C21" s="0" t="s">
        <v>156</v>
      </c>
      <c r="D21" s="0" t="s">
        <v>1670</v>
      </c>
      <c r="E21" s="0" t="s">
        <v>1635</v>
      </c>
      <c r="F21" s="0">
        <v>0</v>
      </c>
      <c r="G21" s="0">
        <v>2</v>
      </c>
      <c r="H21" s="0" t="s">
        <v>1671</v>
      </c>
      <c r="I21" s="0" t="s">
        <v>114</v>
      </c>
      <c r="J21" s="0" t="s">
        <v>114</v>
      </c>
      <c r="K21" s="0" t="s">
        <v>114</v>
      </c>
      <c r="L21" s="0" t="s">
        <v>114</v>
      </c>
      <c r="M21" s="0">
        <v>12</v>
      </c>
      <c r="N21" s="0">
        <v>42</v>
      </c>
      <c r="O21" s="0">
        <v>-361017</v>
      </c>
      <c r="P21" s="1">
        <f>=HYPERLINK("10.175.1.14\MWEB.12\ERR\EntityDetails.10.175.1.14.MWEB.12.java.sql.SQL.-361017.xlsx", "&lt;Detail&gt;")</f>
      </c>
      <c r="Q21" s="1">
        <f>=HYPERLINK("10.175.1.14\MWEB.12\ERR\MetricGraphs.ERR.10.175.1.14.MWEB.12.xlsx", "&lt;Metrics&gt;")</f>
      </c>
      <c r="R21" s="0" t="s">
        <v>101</v>
      </c>
      <c r="S21" s="0" t="s">
        <v>145</v>
      </c>
      <c r="T21" s="0" t="s">
        <v>157</v>
      </c>
      <c r="U21" s="0" t="s">
        <v>114</v>
      </c>
    </row>
    <row r="22">
      <c r="A22" s="0" t="s">
        <v>28</v>
      </c>
      <c r="B22" s="0" t="s">
        <v>30</v>
      </c>
      <c r="C22" s="0" t="s">
        <v>156</v>
      </c>
      <c r="D22" s="0" t="s">
        <v>1672</v>
      </c>
      <c r="E22" s="0" t="s">
        <v>1635</v>
      </c>
      <c r="F22" s="0">
        <v>0</v>
      </c>
      <c r="G22" s="0">
        <v>2</v>
      </c>
      <c r="H22" s="0" t="s">
        <v>1673</v>
      </c>
      <c r="I22" s="0" t="s">
        <v>114</v>
      </c>
      <c r="J22" s="0" t="s">
        <v>114</v>
      </c>
      <c r="K22" s="0" t="s">
        <v>114</v>
      </c>
      <c r="L22" s="0" t="s">
        <v>114</v>
      </c>
      <c r="M22" s="0">
        <v>12</v>
      </c>
      <c r="N22" s="0">
        <v>42</v>
      </c>
      <c r="O22" s="0">
        <v>-360941</v>
      </c>
      <c r="P22" s="1">
        <f>=HYPERLINK("10.175.1.14\MWEB.12\ERR\EntityDetails.10.175.1.14.MWEB.12.java.sql.SQL.-360941.xlsx", "&lt;Detail&gt;")</f>
      </c>
      <c r="Q22" s="1">
        <f>=HYPERLINK("10.175.1.14\MWEB.12\ERR\MetricGraphs.ERR.10.175.1.14.MWEB.12.xlsx", "&lt;Metrics&gt;")</f>
      </c>
      <c r="R22" s="0" t="s">
        <v>101</v>
      </c>
      <c r="S22" s="0" t="s">
        <v>145</v>
      </c>
      <c r="T22" s="0" t="s">
        <v>157</v>
      </c>
      <c r="U22" s="0" t="s">
        <v>114</v>
      </c>
    </row>
    <row r="23">
      <c r="A23" s="0" t="s">
        <v>28</v>
      </c>
      <c r="B23" s="0" t="s">
        <v>30</v>
      </c>
      <c r="C23" s="0" t="s">
        <v>156</v>
      </c>
      <c r="D23" s="0" t="s">
        <v>1674</v>
      </c>
      <c r="E23" s="0" t="s">
        <v>1675</v>
      </c>
      <c r="F23" s="0">
        <v>0</v>
      </c>
      <c r="G23" s="0">
        <v>1</v>
      </c>
      <c r="H23" s="0" t="s">
        <v>1674</v>
      </c>
      <c r="I23" s="0" t="s">
        <v>114</v>
      </c>
      <c r="J23" s="0" t="s">
        <v>114</v>
      </c>
      <c r="K23" s="0" t="s">
        <v>114</v>
      </c>
      <c r="L23" s="0" t="s">
        <v>114</v>
      </c>
      <c r="M23" s="0">
        <v>12</v>
      </c>
      <c r="N23" s="0">
        <v>42</v>
      </c>
      <c r="O23" s="0">
        <v>-330785</v>
      </c>
      <c r="P23" s="1">
        <f>=HYPERLINK("10.175.1.14\MWEB.12\ERR\EntityDetails.10.175.1.14.MWEB.12.Log4J Error .-330785.xlsx", "&lt;Detail&gt;")</f>
      </c>
      <c r="Q23" s="1">
        <f>=HYPERLINK("10.175.1.14\MWEB.12\ERR\MetricGraphs.ERR.10.175.1.14.MWEB.12.xlsx", "&lt;Metrics&gt;")</f>
      </c>
      <c r="R23" s="0" t="s">
        <v>101</v>
      </c>
      <c r="S23" s="0" t="s">
        <v>145</v>
      </c>
      <c r="T23" s="0" t="s">
        <v>157</v>
      </c>
      <c r="U23" s="0" t="s">
        <v>114</v>
      </c>
    </row>
    <row r="24">
      <c r="A24" s="0" t="s">
        <v>28</v>
      </c>
      <c r="B24" s="0" t="s">
        <v>30</v>
      </c>
      <c r="C24" s="0" t="s">
        <v>156</v>
      </c>
      <c r="D24" s="0" t="s">
        <v>1676</v>
      </c>
      <c r="E24" s="0" t="s">
        <v>1675</v>
      </c>
      <c r="F24" s="0">
        <v>0</v>
      </c>
      <c r="G24" s="0">
        <v>1</v>
      </c>
      <c r="H24" s="0" t="s">
        <v>1676</v>
      </c>
      <c r="I24" s="0" t="s">
        <v>114</v>
      </c>
      <c r="J24" s="0" t="s">
        <v>114</v>
      </c>
      <c r="K24" s="0" t="s">
        <v>114</v>
      </c>
      <c r="L24" s="0" t="s">
        <v>114</v>
      </c>
      <c r="M24" s="0">
        <v>12</v>
      </c>
      <c r="N24" s="0">
        <v>42</v>
      </c>
      <c r="O24" s="0">
        <v>-330744</v>
      </c>
      <c r="P24" s="1">
        <f>=HYPERLINK("10.175.1.14\MWEB.12\ERR\EntityDetails.10.175.1.14.MWEB.12.Log4J Fatal .-330744.xlsx", "&lt;Detail&gt;")</f>
      </c>
      <c r="Q24" s="1">
        <f>=HYPERLINK("10.175.1.14\MWEB.12\ERR\MetricGraphs.ERR.10.175.1.14.MWEB.12.xlsx", "&lt;Metrics&gt;")</f>
      </c>
      <c r="R24" s="0" t="s">
        <v>101</v>
      </c>
      <c r="S24" s="0" t="s">
        <v>145</v>
      </c>
      <c r="T24" s="0" t="s">
        <v>157</v>
      </c>
      <c r="U24" s="0" t="s">
        <v>114</v>
      </c>
    </row>
    <row r="25">
      <c r="A25" s="0" t="s">
        <v>28</v>
      </c>
      <c r="B25" s="0" t="s">
        <v>30</v>
      </c>
      <c r="C25" s="0" t="s">
        <v>156</v>
      </c>
      <c r="D25" s="0" t="s">
        <v>1677</v>
      </c>
      <c r="E25" s="0" t="s">
        <v>1647</v>
      </c>
      <c r="F25" s="0">
        <v>404</v>
      </c>
      <c r="G25" s="0">
        <v>2</v>
      </c>
      <c r="H25" s="0" t="s">
        <v>1678</v>
      </c>
      <c r="I25" s="0" t="s">
        <v>1679</v>
      </c>
      <c r="J25" s="0" t="s">
        <v>114</v>
      </c>
      <c r="K25" s="0" t="s">
        <v>114</v>
      </c>
      <c r="L25" s="0" t="s">
        <v>114</v>
      </c>
      <c r="M25" s="0">
        <v>12</v>
      </c>
      <c r="N25" s="0">
        <v>42</v>
      </c>
      <c r="O25" s="0">
        <v>-271135</v>
      </c>
      <c r="P25" s="1">
        <f>=HYPERLINK("10.175.1.14\MWEB.12\ERR\EntityDetails.10.175.1.14.MWEB.12.Page Not Fou.-271135.xlsx", "&lt;Detail&gt;")</f>
      </c>
      <c r="Q25" s="1">
        <f>=HYPERLINK("10.175.1.14\MWEB.12\ERR\MetricGraphs.ERR.10.175.1.14.MWEB.12.xlsx", "&lt;Metrics&gt;")</f>
      </c>
      <c r="R25" s="0" t="s">
        <v>101</v>
      </c>
      <c r="S25" s="0" t="s">
        <v>145</v>
      </c>
      <c r="T25" s="0" t="s">
        <v>157</v>
      </c>
      <c r="U25" s="0" t="s">
        <v>114</v>
      </c>
    </row>
    <row r="26">
      <c r="A26" s="0" t="s">
        <v>28</v>
      </c>
      <c r="B26" s="0" t="s">
        <v>30</v>
      </c>
      <c r="C26" s="0" t="s">
        <v>156</v>
      </c>
      <c r="D26" s="0" t="s">
        <v>1680</v>
      </c>
      <c r="E26" s="0" t="s">
        <v>1635</v>
      </c>
      <c r="F26" s="0">
        <v>0</v>
      </c>
      <c r="G26" s="0">
        <v>1</v>
      </c>
      <c r="H26" s="0" t="s">
        <v>1680</v>
      </c>
      <c r="I26" s="0" t="s">
        <v>114</v>
      </c>
      <c r="J26" s="0" t="s">
        <v>114</v>
      </c>
      <c r="K26" s="0" t="s">
        <v>114</v>
      </c>
      <c r="L26" s="0" t="s">
        <v>114</v>
      </c>
      <c r="M26" s="0">
        <v>12</v>
      </c>
      <c r="N26" s="0">
        <v>42</v>
      </c>
      <c r="O26" s="0">
        <v>-363239</v>
      </c>
      <c r="P26" s="1">
        <f>=HYPERLINK("10.175.1.14\MWEB.12\ERR\EntityDetails.10.175.1.14.MWEB.12.ProtocolExce.-363239.xlsx", "&lt;Detail&gt;")</f>
      </c>
      <c r="Q26" s="1">
        <f>=HYPERLINK("10.175.1.14\MWEB.12\ERR\MetricGraphs.ERR.10.175.1.14.MWEB.12.xlsx", "&lt;Metrics&gt;")</f>
      </c>
      <c r="R26" s="0" t="s">
        <v>101</v>
      </c>
      <c r="S26" s="0" t="s">
        <v>145</v>
      </c>
      <c r="T26" s="0" t="s">
        <v>157</v>
      </c>
      <c r="U26" s="0" t="s">
        <v>114</v>
      </c>
    </row>
    <row r="27">
      <c r="A27" s="0" t="s">
        <v>28</v>
      </c>
      <c r="B27" s="0" t="s">
        <v>30</v>
      </c>
      <c r="C27" s="0" t="s">
        <v>156</v>
      </c>
      <c r="D27" s="0" t="s">
        <v>1681</v>
      </c>
      <c r="E27" s="0" t="s">
        <v>1635</v>
      </c>
      <c r="F27" s="0">
        <v>0</v>
      </c>
      <c r="G27" s="0">
        <v>1</v>
      </c>
      <c r="H27" s="0" t="s">
        <v>1681</v>
      </c>
      <c r="I27" s="0" t="s">
        <v>114</v>
      </c>
      <c r="J27" s="0" t="s">
        <v>114</v>
      </c>
      <c r="K27" s="0" t="s">
        <v>114</v>
      </c>
      <c r="L27" s="0" t="s">
        <v>114</v>
      </c>
      <c r="M27" s="0">
        <v>12</v>
      </c>
      <c r="N27" s="0">
        <v>42</v>
      </c>
      <c r="O27" s="0">
        <v>-362180</v>
      </c>
      <c r="P27" s="1">
        <f>=HYPERLINK("10.175.1.14\MWEB.12\ERR\EntityDetails.10.175.1.14.MWEB.12.SQLException.-362180.xlsx", "&lt;Detail&gt;")</f>
      </c>
      <c r="Q27" s="1">
        <f>=HYPERLINK("10.175.1.14\MWEB.12\ERR\MetricGraphs.ERR.10.175.1.14.MWEB.12.xlsx", "&lt;Metrics&gt;")</f>
      </c>
      <c r="R27" s="0" t="s">
        <v>101</v>
      </c>
      <c r="S27" s="0" t="s">
        <v>145</v>
      </c>
      <c r="T27" s="0" t="s">
        <v>157</v>
      </c>
      <c r="U27" s="0" t="s">
        <v>114</v>
      </c>
    </row>
    <row r="28">
      <c r="A28" s="0" t="s">
        <v>28</v>
      </c>
      <c r="B28" s="0" t="s">
        <v>30</v>
      </c>
      <c r="C28" s="0" t="s">
        <v>156</v>
      </c>
      <c r="D28" s="0" t="s">
        <v>1682</v>
      </c>
      <c r="E28" s="0" t="s">
        <v>1635</v>
      </c>
      <c r="F28" s="0">
        <v>0</v>
      </c>
      <c r="G28" s="0">
        <v>1</v>
      </c>
      <c r="H28" s="0" t="s">
        <v>1682</v>
      </c>
      <c r="I28" s="0" t="s">
        <v>114</v>
      </c>
      <c r="J28" s="0" t="s">
        <v>114</v>
      </c>
      <c r="K28" s="0" t="s">
        <v>114</v>
      </c>
      <c r="L28" s="0" t="s">
        <v>114</v>
      </c>
      <c r="M28" s="0">
        <v>12</v>
      </c>
      <c r="N28" s="0">
        <v>42</v>
      </c>
      <c r="O28" s="0">
        <v>-362188</v>
      </c>
      <c r="P28" s="1">
        <f>=HYPERLINK("10.175.1.14\MWEB.12\ERR\EntityDetails.10.175.1.14.MWEB.12.SQLNonTransi.-362188.xlsx", "&lt;Detail&gt;")</f>
      </c>
      <c r="Q28" s="1">
        <f>=HYPERLINK("10.175.1.14\MWEB.12\ERR\MetricGraphs.ERR.10.175.1.14.MWEB.12.xlsx", "&lt;Metrics&gt;")</f>
      </c>
      <c r="R28" s="0" t="s">
        <v>101</v>
      </c>
      <c r="S28" s="0" t="s">
        <v>145</v>
      </c>
      <c r="T28" s="0" t="s">
        <v>157</v>
      </c>
      <c r="U28" s="0" t="s">
        <v>114</v>
      </c>
    </row>
    <row r="29">
      <c r="A29" s="0" t="s">
        <v>28</v>
      </c>
      <c r="B29" s="0" t="s">
        <v>30</v>
      </c>
      <c r="C29" s="0" t="s">
        <v>156</v>
      </c>
      <c r="D29" s="0" t="s">
        <v>1683</v>
      </c>
      <c r="E29" s="0" t="s">
        <v>1647</v>
      </c>
      <c r="F29" s="0">
        <v>401</v>
      </c>
      <c r="G29" s="0">
        <v>2</v>
      </c>
      <c r="H29" s="0" t="s">
        <v>1684</v>
      </c>
      <c r="I29" s="0" t="s">
        <v>1685</v>
      </c>
      <c r="J29" s="0" t="s">
        <v>114</v>
      </c>
      <c r="K29" s="0" t="s">
        <v>114</v>
      </c>
      <c r="L29" s="0" t="s">
        <v>114</v>
      </c>
      <c r="M29" s="0">
        <v>12</v>
      </c>
      <c r="N29" s="0">
        <v>42</v>
      </c>
      <c r="O29" s="0">
        <v>-513323</v>
      </c>
      <c r="P29" s="1">
        <f>=HYPERLINK("10.175.1.14\MWEB.12\ERR\EntityDetails.10.175.1.14.MWEB.12.Unauthorized.-513323.xlsx", "&lt;Detail&gt;")</f>
      </c>
      <c r="Q29" s="1">
        <f>=HYPERLINK("10.175.1.14\MWEB.12\ERR\MetricGraphs.ERR.10.175.1.14.MWEB.12.xlsx", "&lt;Metrics&gt;")</f>
      </c>
      <c r="R29" s="0" t="s">
        <v>101</v>
      </c>
      <c r="S29" s="0" t="s">
        <v>145</v>
      </c>
      <c r="T29" s="0" t="s">
        <v>157</v>
      </c>
      <c r="U29" s="0" t="s">
        <v>114</v>
      </c>
    </row>
    <row r="30">
      <c r="A30" s="0" t="s">
        <v>28</v>
      </c>
      <c r="B30" s="0" t="s">
        <v>30</v>
      </c>
      <c r="C30" s="0" t="s">
        <v>156</v>
      </c>
      <c r="D30" s="0" t="s">
        <v>1686</v>
      </c>
      <c r="E30" s="0" t="s">
        <v>1635</v>
      </c>
      <c r="F30" s="0">
        <v>0</v>
      </c>
      <c r="G30" s="0">
        <v>1</v>
      </c>
      <c r="H30" s="0" t="s">
        <v>1686</v>
      </c>
      <c r="I30" s="0" t="s">
        <v>114</v>
      </c>
      <c r="J30" s="0" t="s">
        <v>114</v>
      </c>
      <c r="K30" s="0" t="s">
        <v>114</v>
      </c>
      <c r="L30" s="0" t="s">
        <v>114</v>
      </c>
      <c r="M30" s="0">
        <v>12</v>
      </c>
      <c r="N30" s="0">
        <v>42</v>
      </c>
      <c r="O30" s="0">
        <v>-331653</v>
      </c>
      <c r="P30" s="1">
        <f>=HYPERLINK("10.175.1.14\MWEB.12\ERR\EntityDetails.10.175.1.14.MWEB.12.UnknownHostE.-331653.xlsx", "&lt;Detail&gt;")</f>
      </c>
      <c r="Q30" s="1">
        <f>=HYPERLINK("10.175.1.14\MWEB.12\ERR\MetricGraphs.ERR.10.175.1.14.MWEB.12.xlsx", "&lt;Metrics&gt;")</f>
      </c>
      <c r="R30" s="0" t="s">
        <v>101</v>
      </c>
      <c r="S30" s="0" t="s">
        <v>145</v>
      </c>
      <c r="T30" s="0" t="s">
        <v>157</v>
      </c>
      <c r="U30" s="0" t="s">
        <v>114</v>
      </c>
    </row>
    <row r="31">
      <c r="A31" s="0" t="s">
        <v>28</v>
      </c>
      <c r="B31" s="0" t="s">
        <v>30</v>
      </c>
      <c r="C31" s="0" t="s">
        <v>156</v>
      </c>
      <c r="D31" s="0" t="s">
        <v>1687</v>
      </c>
      <c r="E31" s="0" t="s">
        <v>1635</v>
      </c>
      <c r="F31" s="0">
        <v>0</v>
      </c>
      <c r="G31" s="0">
        <v>2</v>
      </c>
      <c r="H31" s="0" t="s">
        <v>1688</v>
      </c>
      <c r="I31" s="0" t="s">
        <v>114</v>
      </c>
      <c r="J31" s="0" t="s">
        <v>114</v>
      </c>
      <c r="K31" s="0" t="s">
        <v>114</v>
      </c>
      <c r="L31" s="0" t="s">
        <v>114</v>
      </c>
      <c r="M31" s="0">
        <v>12</v>
      </c>
      <c r="N31" s="0">
        <v>42</v>
      </c>
      <c r="O31" s="0">
        <v>-512431</v>
      </c>
      <c r="P31" s="1">
        <f>=HYPERLINK("10.175.1.14\MWEB.12\ERR\EntityDetails.10.175.1.14.MWEB.12.weblogic.jdb.-512431.xlsx", "&lt;Detail&gt;")</f>
      </c>
      <c r="Q31" s="1">
        <f>=HYPERLINK("10.175.1.14\MWEB.12\ERR\MetricGraphs.ERR.10.175.1.14.MWEB.12.xlsx", "&lt;Metrics&gt;")</f>
      </c>
      <c r="R31" s="0" t="s">
        <v>101</v>
      </c>
      <c r="S31" s="0" t="s">
        <v>145</v>
      </c>
      <c r="T31" s="0" t="s">
        <v>157</v>
      </c>
      <c r="U31" s="0" t="s">
        <v>114</v>
      </c>
    </row>
    <row r="32">
      <c r="A32" s="0" t="s">
        <v>28</v>
      </c>
      <c r="B32" s="0" t="s">
        <v>30</v>
      </c>
      <c r="C32" s="0" t="s">
        <v>156</v>
      </c>
      <c r="D32" s="0" t="s">
        <v>1689</v>
      </c>
      <c r="E32" s="0" t="s">
        <v>1635</v>
      </c>
      <c r="F32" s="0">
        <v>0</v>
      </c>
      <c r="G32" s="0">
        <v>2</v>
      </c>
      <c r="H32" s="0" t="s">
        <v>1690</v>
      </c>
      <c r="I32" s="0" t="s">
        <v>114</v>
      </c>
      <c r="J32" s="0" t="s">
        <v>114</v>
      </c>
      <c r="K32" s="0" t="s">
        <v>114</v>
      </c>
      <c r="L32" s="0" t="s">
        <v>114</v>
      </c>
      <c r="M32" s="0">
        <v>12</v>
      </c>
      <c r="N32" s="0">
        <v>42</v>
      </c>
      <c r="O32" s="0">
        <v>-331001</v>
      </c>
      <c r="P32" s="1">
        <f>=HYPERLINK("10.175.1.14\MWEB.12\ERR\EntityDetails.10.175.1.14.MWEB.12.weblogic.ser.-331001.xlsx", "&lt;Detail&gt;")</f>
      </c>
      <c r="Q32" s="1">
        <f>=HYPERLINK("10.175.1.14\MWEB.12\ERR\MetricGraphs.ERR.10.175.1.14.MWEB.12.xlsx", "&lt;Metrics&gt;")</f>
      </c>
      <c r="R32" s="0" t="s">
        <v>101</v>
      </c>
      <c r="S32" s="0" t="s">
        <v>145</v>
      </c>
      <c r="T32" s="0" t="s">
        <v>157</v>
      </c>
      <c r="U32" s="0" t="s">
        <v>114</v>
      </c>
    </row>
    <row r="33">
      <c r="A33" s="0" t="s">
        <v>28</v>
      </c>
      <c r="B33" s="0" t="s">
        <v>30</v>
      </c>
      <c r="C33" s="0" t="s">
        <v>158</v>
      </c>
      <c r="D33" s="0" t="s">
        <v>1691</v>
      </c>
      <c r="E33" s="0" t="s">
        <v>1635</v>
      </c>
      <c r="F33" s="0">
        <v>0</v>
      </c>
      <c r="G33" s="0">
        <v>1</v>
      </c>
      <c r="H33" s="0" t="s">
        <v>1691</v>
      </c>
      <c r="I33" s="0" t="s">
        <v>114</v>
      </c>
      <c r="J33" s="0" t="s">
        <v>114</v>
      </c>
      <c r="K33" s="0" t="s">
        <v>114</v>
      </c>
      <c r="L33" s="0" t="s">
        <v>114</v>
      </c>
      <c r="M33" s="0">
        <v>12</v>
      </c>
      <c r="N33" s="0">
        <v>39</v>
      </c>
      <c r="O33" s="0">
        <v>-330404</v>
      </c>
      <c r="P33" s="1">
        <f>=HYPERLINK("10.175.1.14\MWEB.12\ERR\EntityDetails.10.175.1.14.MWEB.12.AddToMapExce.-330404.xlsx", "&lt;Detail&gt;")</f>
      </c>
      <c r="Q33" s="1">
        <f>=HYPERLINK("10.175.1.14\MWEB.12\ERR\MetricGraphs.ERR.10.175.1.14.MWEB.12.xlsx", "&lt;Metrics&gt;")</f>
      </c>
      <c r="R33" s="0" t="s">
        <v>101</v>
      </c>
      <c r="S33" s="0" t="s">
        <v>145</v>
      </c>
      <c r="T33" s="0" t="s">
        <v>159</v>
      </c>
      <c r="U33" s="0" t="s">
        <v>114</v>
      </c>
    </row>
    <row r="34">
      <c r="A34" s="0" t="s">
        <v>28</v>
      </c>
      <c r="B34" s="0" t="s">
        <v>30</v>
      </c>
      <c r="C34" s="0" t="s">
        <v>158</v>
      </c>
      <c r="D34" s="0" t="s">
        <v>1642</v>
      </c>
      <c r="E34" s="0" t="s">
        <v>1635</v>
      </c>
      <c r="F34" s="0">
        <v>0</v>
      </c>
      <c r="G34" s="0">
        <v>5</v>
      </c>
      <c r="H34" s="0" t="s">
        <v>1637</v>
      </c>
      <c r="I34" s="0" t="s">
        <v>1638</v>
      </c>
      <c r="J34" s="0" t="s">
        <v>1643</v>
      </c>
      <c r="K34" s="0" t="s">
        <v>1641</v>
      </c>
      <c r="L34" s="0" t="s">
        <v>114</v>
      </c>
      <c r="M34" s="0">
        <v>12</v>
      </c>
      <c r="N34" s="0">
        <v>39</v>
      </c>
      <c r="O34" s="0">
        <v>-511430</v>
      </c>
      <c r="P34" s="1">
        <f>=HYPERLINK("10.175.1.14\MWEB.12\ERR\EntityDetails.10.175.1.14.MWEB.12.com.mysql.cj.-511430.xlsx", "&lt;Detail&gt;")</f>
      </c>
      <c r="Q34" s="1">
        <f>=HYPERLINK("10.175.1.14\MWEB.12\ERR\MetricGraphs.ERR.10.175.1.14.MWEB.12.xlsx", "&lt;Metrics&gt;")</f>
      </c>
      <c r="R34" s="0" t="s">
        <v>101</v>
      </c>
      <c r="S34" s="0" t="s">
        <v>145</v>
      </c>
      <c r="T34" s="0" t="s">
        <v>159</v>
      </c>
      <c r="U34" s="0" t="s">
        <v>114</v>
      </c>
    </row>
    <row r="35">
      <c r="A35" s="0" t="s">
        <v>28</v>
      </c>
      <c r="B35" s="0" t="s">
        <v>30</v>
      </c>
      <c r="C35" s="0" t="s">
        <v>158</v>
      </c>
      <c r="D35" s="0" t="s">
        <v>1692</v>
      </c>
      <c r="E35" s="0" t="s">
        <v>1635</v>
      </c>
      <c r="F35" s="0">
        <v>0</v>
      </c>
      <c r="G35" s="0">
        <v>3</v>
      </c>
      <c r="H35" s="0" t="s">
        <v>1693</v>
      </c>
      <c r="I35" s="0" t="s">
        <v>1694</v>
      </c>
      <c r="J35" s="0" t="s">
        <v>1695</v>
      </c>
      <c r="K35" s="0" t="s">
        <v>114</v>
      </c>
      <c r="L35" s="0" t="s">
        <v>114</v>
      </c>
      <c r="M35" s="0">
        <v>12</v>
      </c>
      <c r="N35" s="0">
        <v>39</v>
      </c>
      <c r="O35" s="0">
        <v>-361007</v>
      </c>
      <c r="P35" s="1">
        <f>=HYPERLINK("10.175.1.14\MWEB.12\ERR\EntityDetails.10.175.1.14.MWEB.12.Communicatio.-361007.xlsx", "&lt;Detail&gt;")</f>
      </c>
      <c r="Q35" s="1">
        <f>=HYPERLINK("10.175.1.14\MWEB.12\ERR\MetricGraphs.ERR.10.175.1.14.MWEB.12.xlsx", "&lt;Metrics&gt;")</f>
      </c>
      <c r="R35" s="0" t="s">
        <v>101</v>
      </c>
      <c r="S35" s="0" t="s">
        <v>145</v>
      </c>
      <c r="T35" s="0" t="s">
        <v>159</v>
      </c>
      <c r="U35" s="0" t="s">
        <v>114</v>
      </c>
    </row>
    <row r="36">
      <c r="A36" s="0" t="s">
        <v>28</v>
      </c>
      <c r="B36" s="0" t="s">
        <v>30</v>
      </c>
      <c r="C36" s="0" t="s">
        <v>158</v>
      </c>
      <c r="D36" s="0" t="s">
        <v>1696</v>
      </c>
      <c r="E36" s="0" t="s">
        <v>1635</v>
      </c>
      <c r="F36" s="0">
        <v>0</v>
      </c>
      <c r="G36" s="0">
        <v>3</v>
      </c>
      <c r="H36" s="0" t="s">
        <v>1693</v>
      </c>
      <c r="I36" s="0" t="s">
        <v>1694</v>
      </c>
      <c r="J36" s="0" t="s">
        <v>1697</v>
      </c>
      <c r="K36" s="0" t="s">
        <v>114</v>
      </c>
      <c r="L36" s="0" t="s">
        <v>114</v>
      </c>
      <c r="M36" s="0">
        <v>12</v>
      </c>
      <c r="N36" s="0">
        <v>39</v>
      </c>
      <c r="O36" s="0">
        <v>-361021</v>
      </c>
      <c r="P36" s="1">
        <f>=HYPERLINK("10.175.1.14\MWEB.12\ERR\EntityDetails.10.175.1.14.MWEB.12.Communicatio.-361021.xlsx", "&lt;Detail&gt;")</f>
      </c>
      <c r="Q36" s="1">
        <f>=HYPERLINK("10.175.1.14\MWEB.12\ERR\MetricGraphs.ERR.10.175.1.14.MWEB.12.xlsx", "&lt;Metrics&gt;")</f>
      </c>
      <c r="R36" s="0" t="s">
        <v>101</v>
      </c>
      <c r="S36" s="0" t="s">
        <v>145</v>
      </c>
      <c r="T36" s="0" t="s">
        <v>159</v>
      </c>
      <c r="U36" s="0" t="s">
        <v>114</v>
      </c>
    </row>
    <row r="37">
      <c r="A37" s="0" t="s">
        <v>28</v>
      </c>
      <c r="B37" s="0" t="s">
        <v>30</v>
      </c>
      <c r="C37" s="0" t="s">
        <v>158</v>
      </c>
      <c r="D37" s="0" t="s">
        <v>1698</v>
      </c>
      <c r="E37" s="0" t="s">
        <v>1635</v>
      </c>
      <c r="F37" s="0">
        <v>0</v>
      </c>
      <c r="G37" s="0">
        <v>1</v>
      </c>
      <c r="H37" s="0" t="s">
        <v>1698</v>
      </c>
      <c r="I37" s="0" t="s">
        <v>114</v>
      </c>
      <c r="J37" s="0" t="s">
        <v>114</v>
      </c>
      <c r="K37" s="0" t="s">
        <v>114</v>
      </c>
      <c r="L37" s="0" t="s">
        <v>114</v>
      </c>
      <c r="M37" s="0">
        <v>12</v>
      </c>
      <c r="N37" s="0">
        <v>39</v>
      </c>
      <c r="O37" s="0">
        <v>-300503</v>
      </c>
      <c r="P37" s="1">
        <f>=HYPERLINK("10.175.1.14\MWEB.12\ERR\EntityDetails.10.175.1.14.MWEB.12.ConnectExcep.-300503.xlsx", "&lt;Detail&gt;")</f>
      </c>
      <c r="Q37" s="1">
        <f>=HYPERLINK("10.175.1.14\MWEB.12\ERR\MetricGraphs.ERR.10.175.1.14.MWEB.12.xlsx", "&lt;Metrics&gt;")</f>
      </c>
      <c r="R37" s="0" t="s">
        <v>101</v>
      </c>
      <c r="S37" s="0" t="s">
        <v>145</v>
      </c>
      <c r="T37" s="0" t="s">
        <v>159</v>
      </c>
      <c r="U37" s="0" t="s">
        <v>114</v>
      </c>
    </row>
    <row r="38">
      <c r="A38" s="0" t="s">
        <v>28</v>
      </c>
      <c r="B38" s="0" t="s">
        <v>30</v>
      </c>
      <c r="C38" s="0" t="s">
        <v>158</v>
      </c>
      <c r="D38" s="0" t="s">
        <v>1699</v>
      </c>
      <c r="E38" s="0" t="s">
        <v>1635</v>
      </c>
      <c r="F38" s="0">
        <v>0</v>
      </c>
      <c r="G38" s="0">
        <v>2</v>
      </c>
      <c r="H38" s="0" t="s">
        <v>1698</v>
      </c>
      <c r="I38" s="0" t="s">
        <v>1698</v>
      </c>
      <c r="J38" s="0" t="s">
        <v>114</v>
      </c>
      <c r="K38" s="0" t="s">
        <v>114</v>
      </c>
      <c r="L38" s="0" t="s">
        <v>114</v>
      </c>
      <c r="M38" s="0">
        <v>12</v>
      </c>
      <c r="N38" s="0">
        <v>39</v>
      </c>
      <c r="O38" s="0">
        <v>-300501</v>
      </c>
      <c r="P38" s="1">
        <f>=HYPERLINK("10.175.1.14\MWEB.12\ERR\EntityDetails.10.175.1.14.MWEB.12.ConnectExcep.-300501.xlsx", "&lt;Detail&gt;")</f>
      </c>
      <c r="Q38" s="1">
        <f>=HYPERLINK("10.175.1.14\MWEB.12\ERR\MetricGraphs.ERR.10.175.1.14.MWEB.12.xlsx", "&lt;Metrics&gt;")</f>
      </c>
      <c r="R38" s="0" t="s">
        <v>101</v>
      </c>
      <c r="S38" s="0" t="s">
        <v>145</v>
      </c>
      <c r="T38" s="0" t="s">
        <v>159</v>
      </c>
      <c r="U38" s="0" t="s">
        <v>114</v>
      </c>
    </row>
    <row r="39">
      <c r="A39" s="0" t="s">
        <v>28</v>
      </c>
      <c r="B39" s="0" t="s">
        <v>30</v>
      </c>
      <c r="C39" s="0" t="s">
        <v>158</v>
      </c>
      <c r="D39" s="0" t="s">
        <v>1700</v>
      </c>
      <c r="E39" s="0" t="s">
        <v>1635</v>
      </c>
      <c r="F39" s="0">
        <v>0</v>
      </c>
      <c r="G39" s="0">
        <v>1</v>
      </c>
      <c r="H39" s="0" t="s">
        <v>1700</v>
      </c>
      <c r="I39" s="0" t="s">
        <v>114</v>
      </c>
      <c r="J39" s="0" t="s">
        <v>114</v>
      </c>
      <c r="K39" s="0" t="s">
        <v>114</v>
      </c>
      <c r="L39" s="0" t="s">
        <v>114</v>
      </c>
      <c r="M39" s="0">
        <v>12</v>
      </c>
      <c r="N39" s="0">
        <v>39</v>
      </c>
      <c r="O39" s="0">
        <v>-330520</v>
      </c>
      <c r="P39" s="1">
        <f>=HYPERLINK("10.175.1.14\MWEB.12\ERR\EntityDetails.10.175.1.14.MWEB.12.FileNotFound.-330520.xlsx", "&lt;Detail&gt;")</f>
      </c>
      <c r="Q39" s="1">
        <f>=HYPERLINK("10.175.1.14\MWEB.12\ERR\MetricGraphs.ERR.10.175.1.14.MWEB.12.xlsx", "&lt;Metrics&gt;")</f>
      </c>
      <c r="R39" s="0" t="s">
        <v>101</v>
      </c>
      <c r="S39" s="0" t="s">
        <v>145</v>
      </c>
      <c r="T39" s="0" t="s">
        <v>159</v>
      </c>
      <c r="U39" s="0" t="s">
        <v>114</v>
      </c>
    </row>
    <row r="40">
      <c r="A40" s="0" t="s">
        <v>28</v>
      </c>
      <c r="B40" s="0" t="s">
        <v>30</v>
      </c>
      <c r="C40" s="0" t="s">
        <v>158</v>
      </c>
      <c r="D40" s="0" t="s">
        <v>1646</v>
      </c>
      <c r="E40" s="0" t="s">
        <v>1647</v>
      </c>
      <c r="F40" s="0">
        <v>400</v>
      </c>
      <c r="G40" s="0">
        <v>2</v>
      </c>
      <c r="H40" s="0" t="s">
        <v>1648</v>
      </c>
      <c r="I40" s="0" t="s">
        <v>1649</v>
      </c>
      <c r="J40" s="0" t="s">
        <v>114</v>
      </c>
      <c r="K40" s="0" t="s">
        <v>114</v>
      </c>
      <c r="L40" s="0" t="s">
        <v>114</v>
      </c>
      <c r="M40" s="0">
        <v>12</v>
      </c>
      <c r="N40" s="0">
        <v>39</v>
      </c>
      <c r="O40" s="0">
        <v>-300600</v>
      </c>
      <c r="P40" s="1">
        <f>=HYPERLINK("10.175.1.14\MWEB.12\ERR\EntityDetails.10.175.1.14.MWEB.12.HTTP Error C.-300600.xlsx", "&lt;Detail&gt;")</f>
      </c>
      <c r="Q40" s="1">
        <f>=HYPERLINK("10.175.1.14\MWEB.12\ERR\MetricGraphs.ERR.10.175.1.14.MWEB.12.xlsx", "&lt;Metrics&gt;")</f>
      </c>
      <c r="R40" s="0" t="s">
        <v>101</v>
      </c>
      <c r="S40" s="0" t="s">
        <v>145</v>
      </c>
      <c r="T40" s="0" t="s">
        <v>159</v>
      </c>
      <c r="U40" s="0" t="s">
        <v>114</v>
      </c>
    </row>
    <row r="41">
      <c r="A41" s="0" t="s">
        <v>28</v>
      </c>
      <c r="B41" s="0" t="s">
        <v>30</v>
      </c>
      <c r="C41" s="0" t="s">
        <v>158</v>
      </c>
      <c r="D41" s="0" t="s">
        <v>1650</v>
      </c>
      <c r="E41" s="0" t="s">
        <v>1647</v>
      </c>
      <c r="F41" s="0">
        <v>405</v>
      </c>
      <c r="G41" s="0">
        <v>2</v>
      </c>
      <c r="H41" s="0" t="s">
        <v>1648</v>
      </c>
      <c r="I41" s="0" t="s">
        <v>1651</v>
      </c>
      <c r="J41" s="0" t="s">
        <v>114</v>
      </c>
      <c r="K41" s="0" t="s">
        <v>114</v>
      </c>
      <c r="L41" s="0" t="s">
        <v>114</v>
      </c>
      <c r="M41" s="0">
        <v>12</v>
      </c>
      <c r="N41" s="0">
        <v>39</v>
      </c>
      <c r="O41" s="0">
        <v>-513190</v>
      </c>
      <c r="P41" s="1">
        <f>=HYPERLINK("10.175.1.14\MWEB.12\ERR\EntityDetails.10.175.1.14.MWEB.12.HTTP Error C.-513190.xlsx", "&lt;Detail&gt;")</f>
      </c>
      <c r="Q41" s="1">
        <f>=HYPERLINK("10.175.1.14\MWEB.12\ERR\MetricGraphs.ERR.10.175.1.14.MWEB.12.xlsx", "&lt;Metrics&gt;")</f>
      </c>
      <c r="R41" s="0" t="s">
        <v>101</v>
      </c>
      <c r="S41" s="0" t="s">
        <v>145</v>
      </c>
      <c r="T41" s="0" t="s">
        <v>159</v>
      </c>
      <c r="U41" s="0" t="s">
        <v>114</v>
      </c>
    </row>
    <row r="42">
      <c r="A42" s="0" t="s">
        <v>28</v>
      </c>
      <c r="B42" s="0" t="s">
        <v>30</v>
      </c>
      <c r="C42" s="0" t="s">
        <v>158</v>
      </c>
      <c r="D42" s="0" t="s">
        <v>1652</v>
      </c>
      <c r="E42" s="0" t="s">
        <v>1647</v>
      </c>
      <c r="F42" s="0">
        <v>501</v>
      </c>
      <c r="G42" s="0">
        <v>2</v>
      </c>
      <c r="H42" s="0" t="s">
        <v>1648</v>
      </c>
      <c r="I42" s="0" t="s">
        <v>1653</v>
      </c>
      <c r="J42" s="0" t="s">
        <v>114</v>
      </c>
      <c r="K42" s="0" t="s">
        <v>114</v>
      </c>
      <c r="L42" s="0" t="s">
        <v>114</v>
      </c>
      <c r="M42" s="0">
        <v>12</v>
      </c>
      <c r="N42" s="0">
        <v>39</v>
      </c>
      <c r="O42" s="0">
        <v>-513138</v>
      </c>
      <c r="P42" s="1">
        <f>=HYPERLINK("10.175.1.14\MWEB.12\ERR\EntityDetails.10.175.1.14.MWEB.12.HTTP Error C.-513138.xlsx", "&lt;Detail&gt;")</f>
      </c>
      <c r="Q42" s="1">
        <f>=HYPERLINK("10.175.1.14\MWEB.12\ERR\MetricGraphs.ERR.10.175.1.14.MWEB.12.xlsx", "&lt;Metrics&gt;")</f>
      </c>
      <c r="R42" s="0" t="s">
        <v>101</v>
      </c>
      <c r="S42" s="0" t="s">
        <v>145</v>
      </c>
      <c r="T42" s="0" t="s">
        <v>159</v>
      </c>
      <c r="U42" s="0" t="s">
        <v>114</v>
      </c>
    </row>
    <row r="43">
      <c r="A43" s="0" t="s">
        <v>28</v>
      </c>
      <c r="B43" s="0" t="s">
        <v>30</v>
      </c>
      <c r="C43" s="0" t="s">
        <v>158</v>
      </c>
      <c r="D43" s="0" t="s">
        <v>1654</v>
      </c>
      <c r="E43" s="0" t="s">
        <v>1647</v>
      </c>
      <c r="F43" s="0">
        <v>503</v>
      </c>
      <c r="G43" s="0">
        <v>2</v>
      </c>
      <c r="H43" s="0" t="s">
        <v>1648</v>
      </c>
      <c r="I43" s="0" t="s">
        <v>1655</v>
      </c>
      <c r="J43" s="0" t="s">
        <v>114</v>
      </c>
      <c r="K43" s="0" t="s">
        <v>114</v>
      </c>
      <c r="L43" s="0" t="s">
        <v>114</v>
      </c>
      <c r="M43" s="0">
        <v>12</v>
      </c>
      <c r="N43" s="0">
        <v>39</v>
      </c>
      <c r="O43" s="0">
        <v>-300596</v>
      </c>
      <c r="P43" s="1">
        <f>=HYPERLINK("10.175.1.14\MWEB.12\ERR\EntityDetails.10.175.1.14.MWEB.12.HTTP Error C.-300596.xlsx", "&lt;Detail&gt;")</f>
      </c>
      <c r="Q43" s="1">
        <f>=HYPERLINK("10.175.1.14\MWEB.12\ERR\MetricGraphs.ERR.10.175.1.14.MWEB.12.xlsx", "&lt;Metrics&gt;")</f>
      </c>
      <c r="R43" s="0" t="s">
        <v>101</v>
      </c>
      <c r="S43" s="0" t="s">
        <v>145</v>
      </c>
      <c r="T43" s="0" t="s">
        <v>159</v>
      </c>
      <c r="U43" s="0" t="s">
        <v>114</v>
      </c>
    </row>
    <row r="44">
      <c r="A44" s="0" t="s">
        <v>28</v>
      </c>
      <c r="B44" s="0" t="s">
        <v>30</v>
      </c>
      <c r="C44" s="0" t="s">
        <v>158</v>
      </c>
      <c r="D44" s="0" t="s">
        <v>1656</v>
      </c>
      <c r="E44" s="0" t="s">
        <v>1647</v>
      </c>
      <c r="F44" s="0">
        <v>505</v>
      </c>
      <c r="G44" s="0">
        <v>2</v>
      </c>
      <c r="H44" s="0" t="s">
        <v>1648</v>
      </c>
      <c r="I44" s="0" t="s">
        <v>1657</v>
      </c>
      <c r="J44" s="0" t="s">
        <v>114</v>
      </c>
      <c r="K44" s="0" t="s">
        <v>114</v>
      </c>
      <c r="L44" s="0" t="s">
        <v>114</v>
      </c>
      <c r="M44" s="0">
        <v>12</v>
      </c>
      <c r="N44" s="0">
        <v>39</v>
      </c>
      <c r="O44" s="0">
        <v>-513140</v>
      </c>
      <c r="P44" s="1">
        <f>=HYPERLINK("10.175.1.14\MWEB.12\ERR\EntityDetails.10.175.1.14.MWEB.12.HTTP Error C.-513140.xlsx", "&lt;Detail&gt;")</f>
      </c>
      <c r="Q44" s="1">
        <f>=HYPERLINK("10.175.1.14\MWEB.12\ERR\MetricGraphs.ERR.10.175.1.14.MWEB.12.xlsx", "&lt;Metrics&gt;")</f>
      </c>
      <c r="R44" s="0" t="s">
        <v>101</v>
      </c>
      <c r="S44" s="0" t="s">
        <v>145</v>
      </c>
      <c r="T44" s="0" t="s">
        <v>159</v>
      </c>
      <c r="U44" s="0" t="s">
        <v>114</v>
      </c>
    </row>
    <row r="45">
      <c r="A45" s="0" t="s">
        <v>28</v>
      </c>
      <c r="B45" s="0" t="s">
        <v>30</v>
      </c>
      <c r="C45" s="0" t="s">
        <v>158</v>
      </c>
      <c r="D45" s="0" t="s">
        <v>1658</v>
      </c>
      <c r="E45" s="0" t="s">
        <v>1647</v>
      </c>
      <c r="F45" s="0">
        <v>500</v>
      </c>
      <c r="G45" s="0">
        <v>2</v>
      </c>
      <c r="H45" s="0" t="s">
        <v>1659</v>
      </c>
      <c r="I45" s="0" t="s">
        <v>1660</v>
      </c>
      <c r="J45" s="0" t="s">
        <v>114</v>
      </c>
      <c r="K45" s="0" t="s">
        <v>114</v>
      </c>
      <c r="L45" s="0" t="s">
        <v>114</v>
      </c>
      <c r="M45" s="0">
        <v>12</v>
      </c>
      <c r="N45" s="0">
        <v>39</v>
      </c>
      <c r="O45" s="0">
        <v>-300806</v>
      </c>
      <c r="P45" s="1">
        <f>=HYPERLINK("10.175.1.14\MWEB.12\ERR\EntityDetails.10.175.1.14.MWEB.12.Internal Ser.-300806.xlsx", "&lt;Detail&gt;")</f>
      </c>
      <c r="Q45" s="1">
        <f>=HYPERLINK("10.175.1.14\MWEB.12\ERR\MetricGraphs.ERR.10.175.1.14.MWEB.12.xlsx", "&lt;Metrics&gt;")</f>
      </c>
      <c r="R45" s="0" t="s">
        <v>101</v>
      </c>
      <c r="S45" s="0" t="s">
        <v>145</v>
      </c>
      <c r="T45" s="0" t="s">
        <v>159</v>
      </c>
      <c r="U45" s="0" t="s">
        <v>114</v>
      </c>
    </row>
    <row r="46">
      <c r="A46" s="0" t="s">
        <v>28</v>
      </c>
      <c r="B46" s="0" t="s">
        <v>30</v>
      </c>
      <c r="C46" s="0" t="s">
        <v>158</v>
      </c>
      <c r="D46" s="0" t="s">
        <v>1701</v>
      </c>
      <c r="E46" s="0" t="s">
        <v>1635</v>
      </c>
      <c r="F46" s="0">
        <v>0</v>
      </c>
      <c r="G46" s="0">
        <v>1</v>
      </c>
      <c r="H46" s="0" t="s">
        <v>1701</v>
      </c>
      <c r="I46" s="0" t="s">
        <v>114</v>
      </c>
      <c r="J46" s="0" t="s">
        <v>114</v>
      </c>
      <c r="K46" s="0" t="s">
        <v>114</v>
      </c>
      <c r="L46" s="0" t="s">
        <v>114</v>
      </c>
      <c r="M46" s="0">
        <v>12</v>
      </c>
      <c r="N46" s="0">
        <v>39</v>
      </c>
      <c r="O46" s="0">
        <v>-363243</v>
      </c>
      <c r="P46" s="1">
        <f>=HYPERLINK("10.175.1.14\MWEB.12\ERR\EntityDetails.10.175.1.14.MWEB.12.MySQLTransac.-363243.xlsx", "&lt;Detail&gt;")</f>
      </c>
      <c r="Q46" s="1">
        <f>=HYPERLINK("10.175.1.14\MWEB.12\ERR\MetricGraphs.ERR.10.175.1.14.MWEB.12.xlsx", "&lt;Metrics&gt;")</f>
      </c>
      <c r="R46" s="0" t="s">
        <v>101</v>
      </c>
      <c r="S46" s="0" t="s">
        <v>145</v>
      </c>
      <c r="T46" s="0" t="s">
        <v>159</v>
      </c>
      <c r="U46" s="0" t="s">
        <v>114</v>
      </c>
    </row>
    <row r="47">
      <c r="A47" s="0" t="s">
        <v>28</v>
      </c>
      <c r="B47" s="0" t="s">
        <v>30</v>
      </c>
      <c r="C47" s="0" t="s">
        <v>158</v>
      </c>
      <c r="D47" s="0" t="s">
        <v>1677</v>
      </c>
      <c r="E47" s="0" t="s">
        <v>1647</v>
      </c>
      <c r="F47" s="0">
        <v>404</v>
      </c>
      <c r="G47" s="0">
        <v>2</v>
      </c>
      <c r="H47" s="0" t="s">
        <v>1678</v>
      </c>
      <c r="I47" s="0" t="s">
        <v>1679</v>
      </c>
      <c r="J47" s="0" t="s">
        <v>114</v>
      </c>
      <c r="K47" s="0" t="s">
        <v>114</v>
      </c>
      <c r="L47" s="0" t="s">
        <v>114</v>
      </c>
      <c r="M47" s="0">
        <v>12</v>
      </c>
      <c r="N47" s="0">
        <v>39</v>
      </c>
      <c r="O47" s="0">
        <v>-271125</v>
      </c>
      <c r="P47" s="1">
        <f>=HYPERLINK("10.175.1.14\MWEB.12\ERR\EntityDetails.10.175.1.14.MWEB.12.Page Not Fou.-271125.xlsx", "&lt;Detail&gt;")</f>
      </c>
      <c r="Q47" s="1">
        <f>=HYPERLINK("10.175.1.14\MWEB.12\ERR\MetricGraphs.ERR.10.175.1.14.MWEB.12.xlsx", "&lt;Metrics&gt;")</f>
      </c>
      <c r="R47" s="0" t="s">
        <v>101</v>
      </c>
      <c r="S47" s="0" t="s">
        <v>145</v>
      </c>
      <c r="T47" s="0" t="s">
        <v>159</v>
      </c>
      <c r="U47" s="0" t="s">
        <v>114</v>
      </c>
    </row>
    <row r="48">
      <c r="A48" s="0" t="s">
        <v>28</v>
      </c>
      <c r="B48" s="0" t="s">
        <v>30</v>
      </c>
      <c r="C48" s="0" t="s">
        <v>158</v>
      </c>
      <c r="D48" s="0" t="s">
        <v>1702</v>
      </c>
      <c r="E48" s="0" t="s">
        <v>1635</v>
      </c>
      <c r="F48" s="0">
        <v>0</v>
      </c>
      <c r="G48" s="0">
        <v>1</v>
      </c>
      <c r="H48" s="0" t="s">
        <v>1702</v>
      </c>
      <c r="I48" s="0" t="s">
        <v>114</v>
      </c>
      <c r="J48" s="0" t="s">
        <v>114</v>
      </c>
      <c r="K48" s="0" t="s">
        <v>114</v>
      </c>
      <c r="L48" s="0" t="s">
        <v>114</v>
      </c>
      <c r="M48" s="0">
        <v>12</v>
      </c>
      <c r="N48" s="0">
        <v>39</v>
      </c>
      <c r="O48" s="0">
        <v>-330440</v>
      </c>
      <c r="P48" s="1">
        <f>=HYPERLINK("10.175.1.14\MWEB.12\ERR\EntityDetails.10.175.1.14.MWEB.12.SQLIntegrity.-330440.xlsx", "&lt;Detail&gt;")</f>
      </c>
      <c r="Q48" s="1">
        <f>=HYPERLINK("10.175.1.14\MWEB.12\ERR\MetricGraphs.ERR.10.175.1.14.MWEB.12.xlsx", "&lt;Metrics&gt;")</f>
      </c>
      <c r="R48" s="0" t="s">
        <v>101</v>
      </c>
      <c r="S48" s="0" t="s">
        <v>145</v>
      </c>
      <c r="T48" s="0" t="s">
        <v>159</v>
      </c>
      <c r="U48" s="0" t="s">
        <v>114</v>
      </c>
    </row>
    <row r="49">
      <c r="A49" s="0" t="s">
        <v>28</v>
      </c>
      <c r="B49" s="0" t="s">
        <v>30</v>
      </c>
      <c r="C49" s="0" t="s">
        <v>158</v>
      </c>
      <c r="D49" s="0" t="s">
        <v>1703</v>
      </c>
      <c r="E49" s="0" t="s">
        <v>1635</v>
      </c>
      <c r="F49" s="0">
        <v>0</v>
      </c>
      <c r="G49" s="0">
        <v>1</v>
      </c>
      <c r="H49" s="0" t="s">
        <v>1703</v>
      </c>
      <c r="I49" s="0" t="s">
        <v>114</v>
      </c>
      <c r="J49" s="0" t="s">
        <v>114</v>
      </c>
      <c r="K49" s="0" t="s">
        <v>114</v>
      </c>
      <c r="L49" s="0" t="s">
        <v>114</v>
      </c>
      <c r="M49" s="0">
        <v>12</v>
      </c>
      <c r="N49" s="0">
        <v>39</v>
      </c>
      <c r="O49" s="0">
        <v>-300640</v>
      </c>
      <c r="P49" s="1">
        <f>=HYPERLINK("10.175.1.14\MWEB.12\ERR\EntityDetails.10.175.1.14.MWEB.12.SQLSyntaxErr.-300640.xlsx", "&lt;Detail&gt;")</f>
      </c>
      <c r="Q49" s="1">
        <f>=HYPERLINK("10.175.1.14\MWEB.12\ERR\MetricGraphs.ERR.10.175.1.14.MWEB.12.xlsx", "&lt;Metrics&gt;")</f>
      </c>
      <c r="R49" s="0" t="s">
        <v>101</v>
      </c>
      <c r="S49" s="0" t="s">
        <v>145</v>
      </c>
      <c r="T49" s="0" t="s">
        <v>159</v>
      </c>
      <c r="U49" s="0" t="s">
        <v>114</v>
      </c>
    </row>
    <row r="50">
      <c r="A50" s="0" t="s">
        <v>28</v>
      </c>
      <c r="B50" s="0" t="s">
        <v>30</v>
      </c>
      <c r="C50" s="0" t="s">
        <v>158</v>
      </c>
      <c r="D50" s="0" t="s">
        <v>1683</v>
      </c>
      <c r="E50" s="0" t="s">
        <v>1647</v>
      </c>
      <c r="F50" s="0">
        <v>401</v>
      </c>
      <c r="G50" s="0">
        <v>2</v>
      </c>
      <c r="H50" s="0" t="s">
        <v>1684</v>
      </c>
      <c r="I50" s="0" t="s">
        <v>1685</v>
      </c>
      <c r="J50" s="0" t="s">
        <v>114</v>
      </c>
      <c r="K50" s="0" t="s">
        <v>114</v>
      </c>
      <c r="L50" s="0" t="s">
        <v>114</v>
      </c>
      <c r="M50" s="0">
        <v>12</v>
      </c>
      <c r="N50" s="0">
        <v>39</v>
      </c>
      <c r="O50" s="0">
        <v>-515329</v>
      </c>
      <c r="P50" s="1">
        <f>=HYPERLINK("10.175.1.14\MWEB.12\ERR\EntityDetails.10.175.1.14.MWEB.12.Unauthorized.-515329.xlsx", "&lt;Detail&gt;")</f>
      </c>
      <c r="Q50" s="1">
        <f>=HYPERLINK("10.175.1.14\MWEB.12\ERR\MetricGraphs.ERR.10.175.1.14.MWEB.12.xlsx", "&lt;Metrics&gt;")</f>
      </c>
      <c r="R50" s="0" t="s">
        <v>101</v>
      </c>
      <c r="S50" s="0" t="s">
        <v>145</v>
      </c>
      <c r="T50" s="0" t="s">
        <v>159</v>
      </c>
      <c r="U50" s="0" t="s">
        <v>114</v>
      </c>
    </row>
    <row r="51">
      <c r="A51" s="0" t="s">
        <v>28</v>
      </c>
      <c r="B51" s="0" t="s">
        <v>30</v>
      </c>
      <c r="C51" s="0" t="s">
        <v>160</v>
      </c>
      <c r="D51" s="0" t="s">
        <v>1654</v>
      </c>
      <c r="E51" s="0" t="s">
        <v>1647</v>
      </c>
      <c r="F51" s="0">
        <v>503</v>
      </c>
      <c r="G51" s="0">
        <v>2</v>
      </c>
      <c r="H51" s="0" t="s">
        <v>1648</v>
      </c>
      <c r="I51" s="0" t="s">
        <v>1655</v>
      </c>
      <c r="J51" s="0" t="s">
        <v>114</v>
      </c>
      <c r="K51" s="0" t="s">
        <v>114</v>
      </c>
      <c r="L51" s="0" t="s">
        <v>114</v>
      </c>
      <c r="M51" s="0">
        <v>12</v>
      </c>
      <c r="N51" s="0">
        <v>41</v>
      </c>
      <c r="O51" s="0">
        <v>-361369</v>
      </c>
      <c r="P51" s="1">
        <f>=HYPERLINK("10.175.1.14\MWEB.12\ERR\EntityDetails.10.175.1.14.MWEB.12.HTTP Error C.-361369.xlsx", "&lt;Detail&gt;")</f>
      </c>
      <c r="Q51" s="1">
        <f>=HYPERLINK("10.175.1.14\MWEB.12\ERR\MetricGraphs.ERR.10.175.1.14.MWEB.12.xlsx", "&lt;Metrics&gt;")</f>
      </c>
      <c r="R51" s="0" t="s">
        <v>101</v>
      </c>
      <c r="S51" s="0" t="s">
        <v>145</v>
      </c>
      <c r="T51" s="0" t="s">
        <v>161</v>
      </c>
      <c r="U51" s="0" t="s">
        <v>114</v>
      </c>
    </row>
    <row r="52">
      <c r="A52" s="0" t="s">
        <v>28</v>
      </c>
      <c r="B52" s="0" t="s">
        <v>30</v>
      </c>
      <c r="C52" s="0" t="s">
        <v>160</v>
      </c>
      <c r="D52" s="0" t="s">
        <v>1677</v>
      </c>
      <c r="E52" s="0" t="s">
        <v>1647</v>
      </c>
      <c r="F52" s="0">
        <v>404</v>
      </c>
      <c r="G52" s="0">
        <v>2</v>
      </c>
      <c r="H52" s="0" t="s">
        <v>1678</v>
      </c>
      <c r="I52" s="0" t="s">
        <v>1679</v>
      </c>
      <c r="J52" s="0" t="s">
        <v>114</v>
      </c>
      <c r="K52" s="0" t="s">
        <v>114</v>
      </c>
      <c r="L52" s="0" t="s">
        <v>114</v>
      </c>
      <c r="M52" s="0">
        <v>12</v>
      </c>
      <c r="N52" s="0">
        <v>41</v>
      </c>
      <c r="O52" s="0">
        <v>-271477</v>
      </c>
      <c r="P52" s="1">
        <f>=HYPERLINK("10.175.1.14\MWEB.12\ERR\EntityDetails.10.175.1.14.MWEB.12.Page Not Fou.-271477.xlsx", "&lt;Detail&gt;")</f>
      </c>
      <c r="Q52" s="1">
        <f>=HYPERLINK("10.175.1.14\MWEB.12\ERR\MetricGraphs.ERR.10.175.1.14.MWEB.12.xlsx", "&lt;Metrics&gt;")</f>
      </c>
      <c r="R52" s="0" t="s">
        <v>101</v>
      </c>
      <c r="S52" s="0" t="s">
        <v>145</v>
      </c>
      <c r="T52" s="0" t="s">
        <v>161</v>
      </c>
      <c r="U52" s="0" t="s">
        <v>114</v>
      </c>
    </row>
    <row r="53">
      <c r="A53" s="0" t="s">
        <v>28</v>
      </c>
      <c r="B53" s="0" t="s">
        <v>30</v>
      </c>
      <c r="C53" s="0" t="s">
        <v>162</v>
      </c>
      <c r="D53" s="0" t="s">
        <v>1636</v>
      </c>
      <c r="E53" s="0" t="s">
        <v>1635</v>
      </c>
      <c r="F53" s="0">
        <v>0</v>
      </c>
      <c r="G53" s="0">
        <v>4</v>
      </c>
      <c r="H53" s="0" t="s">
        <v>1637</v>
      </c>
      <c r="I53" s="0" t="s">
        <v>1638</v>
      </c>
      <c r="J53" s="0" t="s">
        <v>1639</v>
      </c>
      <c r="K53" s="0" t="s">
        <v>114</v>
      </c>
      <c r="L53" s="0" t="s">
        <v>114</v>
      </c>
      <c r="M53" s="0">
        <v>12</v>
      </c>
      <c r="N53" s="0">
        <v>40</v>
      </c>
      <c r="O53" s="0">
        <v>-511450</v>
      </c>
      <c r="P53" s="1">
        <f>=HYPERLINK("10.175.1.14\MWEB.12\ERR\EntityDetails.10.175.1.14.MWEB.12.com.mysql.cj.-511450.xlsx", "&lt;Detail&gt;")</f>
      </c>
      <c r="Q53" s="1">
        <f>=HYPERLINK("10.175.1.14\MWEB.12\ERR\MetricGraphs.ERR.10.175.1.14.MWEB.12.xlsx", "&lt;Metrics&gt;")</f>
      </c>
      <c r="R53" s="0" t="s">
        <v>101</v>
      </c>
      <c r="S53" s="0" t="s">
        <v>145</v>
      </c>
      <c r="T53" s="0" t="s">
        <v>163</v>
      </c>
      <c r="U53" s="0" t="s">
        <v>114</v>
      </c>
    </row>
    <row r="54">
      <c r="A54" s="0" t="s">
        <v>28</v>
      </c>
      <c r="B54" s="0" t="s">
        <v>30</v>
      </c>
      <c r="C54" s="0" t="s">
        <v>162</v>
      </c>
      <c r="D54" s="0" t="s">
        <v>1642</v>
      </c>
      <c r="E54" s="0" t="s">
        <v>1635</v>
      </c>
      <c r="F54" s="0">
        <v>0</v>
      </c>
      <c r="G54" s="0">
        <v>5</v>
      </c>
      <c r="H54" s="0" t="s">
        <v>1637</v>
      </c>
      <c r="I54" s="0" t="s">
        <v>1638</v>
      </c>
      <c r="J54" s="0" t="s">
        <v>1643</v>
      </c>
      <c r="K54" s="0" t="s">
        <v>1641</v>
      </c>
      <c r="L54" s="0" t="s">
        <v>114</v>
      </c>
      <c r="M54" s="0">
        <v>12</v>
      </c>
      <c r="N54" s="0">
        <v>40</v>
      </c>
      <c r="O54" s="0">
        <v>-511436</v>
      </c>
      <c r="P54" s="1">
        <f>=HYPERLINK("10.175.1.14\MWEB.12\ERR\EntityDetails.10.175.1.14.MWEB.12.com.mysql.cj.-511436.xlsx", "&lt;Detail&gt;")</f>
      </c>
      <c r="Q54" s="1">
        <f>=HYPERLINK("10.175.1.14\MWEB.12\ERR\MetricGraphs.ERR.10.175.1.14.MWEB.12.xlsx", "&lt;Metrics&gt;")</f>
      </c>
      <c r="R54" s="0" t="s">
        <v>101</v>
      </c>
      <c r="S54" s="0" t="s">
        <v>145</v>
      </c>
      <c r="T54" s="0" t="s">
        <v>163</v>
      </c>
      <c r="U54" s="0" t="s">
        <v>114</v>
      </c>
    </row>
    <row r="55">
      <c r="A55" s="0" t="s">
        <v>28</v>
      </c>
      <c r="B55" s="0" t="s">
        <v>30</v>
      </c>
      <c r="C55" s="0" t="s">
        <v>162</v>
      </c>
      <c r="D55" s="0" t="s">
        <v>1704</v>
      </c>
      <c r="E55" s="0" t="s">
        <v>1635</v>
      </c>
      <c r="F55" s="0">
        <v>0</v>
      </c>
      <c r="G55" s="0">
        <v>2</v>
      </c>
      <c r="H55" s="0" t="s">
        <v>1705</v>
      </c>
      <c r="I55" s="0" t="s">
        <v>1706</v>
      </c>
      <c r="J55" s="0" t="s">
        <v>114</v>
      </c>
      <c r="K55" s="0" t="s">
        <v>114</v>
      </c>
      <c r="L55" s="0" t="s">
        <v>114</v>
      </c>
      <c r="M55" s="0">
        <v>12</v>
      </c>
      <c r="N55" s="0">
        <v>40</v>
      </c>
      <c r="O55" s="0">
        <v>-511108</v>
      </c>
      <c r="P55" s="1">
        <f>=HYPERLINK("10.175.1.14\MWEB.12\ERR\EntityDetails.10.175.1.14.MWEB.12.ExceptionInI.-511108.xlsx", "&lt;Detail&gt;")</f>
      </c>
      <c r="Q55" s="1">
        <f>=HYPERLINK("10.175.1.14\MWEB.12\ERR\MetricGraphs.ERR.10.175.1.14.MWEB.12.xlsx", "&lt;Metrics&gt;")</f>
      </c>
      <c r="R55" s="0" t="s">
        <v>101</v>
      </c>
      <c r="S55" s="0" t="s">
        <v>145</v>
      </c>
      <c r="T55" s="0" t="s">
        <v>163</v>
      </c>
      <c r="U55" s="0" t="s">
        <v>114</v>
      </c>
    </row>
    <row r="56">
      <c r="A56" s="0" t="s">
        <v>28</v>
      </c>
      <c r="B56" s="0" t="s">
        <v>30</v>
      </c>
      <c r="C56" s="0" t="s">
        <v>162</v>
      </c>
      <c r="D56" s="0" t="s">
        <v>1646</v>
      </c>
      <c r="E56" s="0" t="s">
        <v>1647</v>
      </c>
      <c r="F56" s="0">
        <v>400</v>
      </c>
      <c r="G56" s="0">
        <v>2</v>
      </c>
      <c r="H56" s="0" t="s">
        <v>1648</v>
      </c>
      <c r="I56" s="0" t="s">
        <v>1649</v>
      </c>
      <c r="J56" s="0" t="s">
        <v>114</v>
      </c>
      <c r="K56" s="0" t="s">
        <v>114</v>
      </c>
      <c r="L56" s="0" t="s">
        <v>114</v>
      </c>
      <c r="M56" s="0">
        <v>12</v>
      </c>
      <c r="N56" s="0">
        <v>40</v>
      </c>
      <c r="O56" s="0">
        <v>-361464</v>
      </c>
      <c r="P56" s="1">
        <f>=HYPERLINK("10.175.1.14\MWEB.12\ERR\EntityDetails.10.175.1.14.MWEB.12.HTTP Error C.-361464.xlsx", "&lt;Detail&gt;")</f>
      </c>
      <c r="Q56" s="1">
        <f>=HYPERLINK("10.175.1.14\MWEB.12\ERR\MetricGraphs.ERR.10.175.1.14.MWEB.12.xlsx", "&lt;Metrics&gt;")</f>
      </c>
      <c r="R56" s="0" t="s">
        <v>101</v>
      </c>
      <c r="S56" s="0" t="s">
        <v>145</v>
      </c>
      <c r="T56" s="0" t="s">
        <v>163</v>
      </c>
      <c r="U56" s="0" t="s">
        <v>114</v>
      </c>
    </row>
    <row r="57">
      <c r="A57" s="0" t="s">
        <v>28</v>
      </c>
      <c r="B57" s="0" t="s">
        <v>30</v>
      </c>
      <c r="C57" s="0" t="s">
        <v>162</v>
      </c>
      <c r="D57" s="0" t="s">
        <v>1654</v>
      </c>
      <c r="E57" s="0" t="s">
        <v>1647</v>
      </c>
      <c r="F57" s="0">
        <v>503</v>
      </c>
      <c r="G57" s="0">
        <v>2</v>
      </c>
      <c r="H57" s="0" t="s">
        <v>1648</v>
      </c>
      <c r="I57" s="0" t="s">
        <v>1655</v>
      </c>
      <c r="J57" s="0" t="s">
        <v>114</v>
      </c>
      <c r="K57" s="0" t="s">
        <v>114</v>
      </c>
      <c r="L57" s="0" t="s">
        <v>114</v>
      </c>
      <c r="M57" s="0">
        <v>12</v>
      </c>
      <c r="N57" s="0">
        <v>40</v>
      </c>
      <c r="O57" s="0">
        <v>-361439</v>
      </c>
      <c r="P57" s="1">
        <f>=HYPERLINK("10.175.1.14\MWEB.12\ERR\EntityDetails.10.175.1.14.MWEB.12.HTTP Error C.-361439.xlsx", "&lt;Detail&gt;")</f>
      </c>
      <c r="Q57" s="1">
        <f>=HYPERLINK("10.175.1.14\MWEB.12\ERR\MetricGraphs.ERR.10.175.1.14.MWEB.12.xlsx", "&lt;Metrics&gt;")</f>
      </c>
      <c r="R57" s="0" t="s">
        <v>101</v>
      </c>
      <c r="S57" s="0" t="s">
        <v>145</v>
      </c>
      <c r="T57" s="0" t="s">
        <v>163</v>
      </c>
      <c r="U57" s="0" t="s">
        <v>114</v>
      </c>
    </row>
    <row r="58">
      <c r="A58" s="0" t="s">
        <v>28</v>
      </c>
      <c r="B58" s="0" t="s">
        <v>30</v>
      </c>
      <c r="C58" s="0" t="s">
        <v>162</v>
      </c>
      <c r="D58" s="0" t="s">
        <v>1658</v>
      </c>
      <c r="E58" s="0" t="s">
        <v>1647</v>
      </c>
      <c r="F58" s="0">
        <v>500</v>
      </c>
      <c r="G58" s="0">
        <v>2</v>
      </c>
      <c r="H58" s="0" t="s">
        <v>1659</v>
      </c>
      <c r="I58" s="0" t="s">
        <v>1660</v>
      </c>
      <c r="J58" s="0" t="s">
        <v>114</v>
      </c>
      <c r="K58" s="0" t="s">
        <v>114</v>
      </c>
      <c r="L58" s="0" t="s">
        <v>114</v>
      </c>
      <c r="M58" s="0">
        <v>12</v>
      </c>
      <c r="N58" s="0">
        <v>40</v>
      </c>
      <c r="O58" s="0">
        <v>-363046</v>
      </c>
      <c r="P58" s="1">
        <f>=HYPERLINK("10.175.1.14\MWEB.12\ERR\EntityDetails.10.175.1.14.MWEB.12.Internal Ser.-363046.xlsx", "&lt;Detail&gt;")</f>
      </c>
      <c r="Q58" s="1">
        <f>=HYPERLINK("10.175.1.14\MWEB.12\ERR\MetricGraphs.ERR.10.175.1.14.MWEB.12.xlsx", "&lt;Metrics&gt;")</f>
      </c>
      <c r="R58" s="0" t="s">
        <v>101</v>
      </c>
      <c r="S58" s="0" t="s">
        <v>145</v>
      </c>
      <c r="T58" s="0" t="s">
        <v>163</v>
      </c>
      <c r="U58" s="0" t="s">
        <v>114</v>
      </c>
    </row>
    <row r="59">
      <c r="A59" s="0" t="s">
        <v>28</v>
      </c>
      <c r="B59" s="0" t="s">
        <v>30</v>
      </c>
      <c r="C59" s="0" t="s">
        <v>162</v>
      </c>
      <c r="D59" s="0" t="s">
        <v>1663</v>
      </c>
      <c r="E59" s="0" t="s">
        <v>1635</v>
      </c>
      <c r="F59" s="0">
        <v>0</v>
      </c>
      <c r="G59" s="0">
        <v>2</v>
      </c>
      <c r="H59" s="0" t="s">
        <v>1664</v>
      </c>
      <c r="I59" s="0" t="s">
        <v>114</v>
      </c>
      <c r="J59" s="0" t="s">
        <v>114</v>
      </c>
      <c r="K59" s="0" t="s">
        <v>114</v>
      </c>
      <c r="L59" s="0" t="s">
        <v>114</v>
      </c>
      <c r="M59" s="0">
        <v>12</v>
      </c>
      <c r="N59" s="0">
        <v>40</v>
      </c>
      <c r="O59" s="0">
        <v>-511289</v>
      </c>
      <c r="P59" s="1">
        <f>=HYPERLINK("10.175.1.14\MWEB.12\ERR\EntityDetails.10.175.1.14.MWEB.12.java.lang.Nu.-511289.xlsx", "&lt;Detail&gt;")</f>
      </c>
      <c r="Q59" s="1">
        <f>=HYPERLINK("10.175.1.14\MWEB.12\ERR\MetricGraphs.ERR.10.175.1.14.MWEB.12.xlsx", "&lt;Metrics&gt;")</f>
      </c>
      <c r="R59" s="0" t="s">
        <v>101</v>
      </c>
      <c r="S59" s="0" t="s">
        <v>145</v>
      </c>
      <c r="T59" s="0" t="s">
        <v>163</v>
      </c>
      <c r="U59" s="0" t="s">
        <v>114</v>
      </c>
    </row>
    <row r="60">
      <c r="A60" s="0" t="s">
        <v>28</v>
      </c>
      <c r="B60" s="0" t="s">
        <v>30</v>
      </c>
      <c r="C60" s="0" t="s">
        <v>162</v>
      </c>
      <c r="D60" s="0" t="s">
        <v>1667</v>
      </c>
      <c r="E60" s="0" t="s">
        <v>1635</v>
      </c>
      <c r="F60" s="0">
        <v>0</v>
      </c>
      <c r="G60" s="0">
        <v>2</v>
      </c>
      <c r="H60" s="0" t="s">
        <v>1668</v>
      </c>
      <c r="I60" s="0" t="s">
        <v>114</v>
      </c>
      <c r="J60" s="0" t="s">
        <v>114</v>
      </c>
      <c r="K60" s="0" t="s">
        <v>114</v>
      </c>
      <c r="L60" s="0" t="s">
        <v>114</v>
      </c>
      <c r="M60" s="0">
        <v>12</v>
      </c>
      <c r="N60" s="0">
        <v>40</v>
      </c>
      <c r="O60" s="0">
        <v>-330967</v>
      </c>
      <c r="P60" s="1">
        <f>=HYPERLINK("10.175.1.14\MWEB.12\ERR\EntityDetails.10.175.1.14.MWEB.12.java.rmi.Con.-330967.xlsx", "&lt;Detail&gt;")</f>
      </c>
      <c r="Q60" s="1">
        <f>=HYPERLINK("10.175.1.14\MWEB.12\ERR\MetricGraphs.ERR.10.175.1.14.MWEB.12.xlsx", "&lt;Metrics&gt;")</f>
      </c>
      <c r="R60" s="0" t="s">
        <v>101</v>
      </c>
      <c r="S60" s="0" t="s">
        <v>145</v>
      </c>
      <c r="T60" s="0" t="s">
        <v>163</v>
      </c>
      <c r="U60" s="0" t="s">
        <v>114</v>
      </c>
    </row>
    <row r="61">
      <c r="A61" s="0" t="s">
        <v>28</v>
      </c>
      <c r="B61" s="0" t="s">
        <v>30</v>
      </c>
      <c r="C61" s="0" t="s">
        <v>162</v>
      </c>
      <c r="D61" s="0" t="s">
        <v>1669</v>
      </c>
      <c r="E61" s="0" t="s">
        <v>1635</v>
      </c>
      <c r="F61" s="0">
        <v>0</v>
      </c>
      <c r="G61" s="0">
        <v>3</v>
      </c>
      <c r="H61" s="0" t="s">
        <v>1668</v>
      </c>
      <c r="I61" s="0" t="s">
        <v>1668</v>
      </c>
      <c r="J61" s="0" t="s">
        <v>114</v>
      </c>
      <c r="K61" s="0" t="s">
        <v>114</v>
      </c>
      <c r="L61" s="0" t="s">
        <v>114</v>
      </c>
      <c r="M61" s="0">
        <v>12</v>
      </c>
      <c r="N61" s="0">
        <v>40</v>
      </c>
      <c r="O61" s="0">
        <v>-330965</v>
      </c>
      <c r="P61" s="1">
        <f>=HYPERLINK("10.175.1.14\MWEB.12\ERR\EntityDetails.10.175.1.14.MWEB.12.java.rmi.Con.-330965.xlsx", "&lt;Detail&gt;")</f>
      </c>
      <c r="Q61" s="1">
        <f>=HYPERLINK("10.175.1.14\MWEB.12\ERR\MetricGraphs.ERR.10.175.1.14.MWEB.12.xlsx", "&lt;Metrics&gt;")</f>
      </c>
      <c r="R61" s="0" t="s">
        <v>101</v>
      </c>
      <c r="S61" s="0" t="s">
        <v>145</v>
      </c>
      <c r="T61" s="0" t="s">
        <v>163</v>
      </c>
      <c r="U61" s="0" t="s">
        <v>114</v>
      </c>
    </row>
    <row r="62">
      <c r="A62" s="0" t="s">
        <v>28</v>
      </c>
      <c r="B62" s="0" t="s">
        <v>30</v>
      </c>
      <c r="C62" s="0" t="s">
        <v>162</v>
      </c>
      <c r="D62" s="0" t="s">
        <v>1672</v>
      </c>
      <c r="E62" s="0" t="s">
        <v>1635</v>
      </c>
      <c r="F62" s="0">
        <v>0</v>
      </c>
      <c r="G62" s="0">
        <v>2</v>
      </c>
      <c r="H62" s="0" t="s">
        <v>1673</v>
      </c>
      <c r="I62" s="0" t="s">
        <v>114</v>
      </c>
      <c r="J62" s="0" t="s">
        <v>114</v>
      </c>
      <c r="K62" s="0" t="s">
        <v>114</v>
      </c>
      <c r="L62" s="0" t="s">
        <v>114</v>
      </c>
      <c r="M62" s="0">
        <v>12</v>
      </c>
      <c r="N62" s="0">
        <v>40</v>
      </c>
      <c r="O62" s="0">
        <v>-514365</v>
      </c>
      <c r="P62" s="1">
        <f>=HYPERLINK("10.175.1.14\MWEB.12\ERR\EntityDetails.10.175.1.14.MWEB.12.java.sql.SQL.-514365.xlsx", "&lt;Detail&gt;")</f>
      </c>
      <c r="Q62" s="1">
        <f>=HYPERLINK("10.175.1.14\MWEB.12\ERR\MetricGraphs.ERR.10.175.1.14.MWEB.12.xlsx", "&lt;Metrics&gt;")</f>
      </c>
      <c r="R62" s="0" t="s">
        <v>101</v>
      </c>
      <c r="S62" s="0" t="s">
        <v>145</v>
      </c>
      <c r="T62" s="0" t="s">
        <v>163</v>
      </c>
      <c r="U62" s="0" t="s">
        <v>114</v>
      </c>
    </row>
    <row r="63">
      <c r="A63" s="0" t="s">
        <v>28</v>
      </c>
      <c r="B63" s="0" t="s">
        <v>30</v>
      </c>
      <c r="C63" s="0" t="s">
        <v>162</v>
      </c>
      <c r="D63" s="0" t="s">
        <v>1707</v>
      </c>
      <c r="E63" s="0" t="s">
        <v>1675</v>
      </c>
      <c r="F63" s="0">
        <v>0</v>
      </c>
      <c r="G63" s="0">
        <v>1</v>
      </c>
      <c r="H63" s="0" t="s">
        <v>1707</v>
      </c>
      <c r="I63" s="0" t="s">
        <v>114</v>
      </c>
      <c r="J63" s="0" t="s">
        <v>114</v>
      </c>
      <c r="K63" s="0" t="s">
        <v>114</v>
      </c>
      <c r="L63" s="0" t="s">
        <v>114</v>
      </c>
      <c r="M63" s="0">
        <v>12</v>
      </c>
      <c r="N63" s="0">
        <v>40</v>
      </c>
      <c r="O63" s="0">
        <v>-511262</v>
      </c>
      <c r="P63" s="1">
        <f>=HYPERLINK("10.175.1.14\MWEB.12\ERR\EntityDetails.10.175.1.14.MWEB.12.NoClassDefFo.-511262.xlsx", "&lt;Detail&gt;")</f>
      </c>
      <c r="Q63" s="1">
        <f>=HYPERLINK("10.175.1.14\MWEB.12\ERR\MetricGraphs.ERR.10.175.1.14.MWEB.12.xlsx", "&lt;Metrics&gt;")</f>
      </c>
      <c r="R63" s="0" t="s">
        <v>101</v>
      </c>
      <c r="S63" s="0" t="s">
        <v>145</v>
      </c>
      <c r="T63" s="0" t="s">
        <v>163</v>
      </c>
      <c r="U63" s="0" t="s">
        <v>114</v>
      </c>
    </row>
    <row r="64">
      <c r="A64" s="0" t="s">
        <v>28</v>
      </c>
      <c r="B64" s="0" t="s">
        <v>30</v>
      </c>
      <c r="C64" s="0" t="s">
        <v>162</v>
      </c>
      <c r="D64" s="0" t="s">
        <v>1677</v>
      </c>
      <c r="E64" s="0" t="s">
        <v>1647</v>
      </c>
      <c r="F64" s="0">
        <v>404</v>
      </c>
      <c r="G64" s="0">
        <v>2</v>
      </c>
      <c r="H64" s="0" t="s">
        <v>1678</v>
      </c>
      <c r="I64" s="0" t="s">
        <v>1679</v>
      </c>
      <c r="J64" s="0" t="s">
        <v>114</v>
      </c>
      <c r="K64" s="0" t="s">
        <v>114</v>
      </c>
      <c r="L64" s="0" t="s">
        <v>114</v>
      </c>
      <c r="M64" s="0">
        <v>12</v>
      </c>
      <c r="N64" s="0">
        <v>40</v>
      </c>
      <c r="O64" s="0">
        <v>-271130</v>
      </c>
      <c r="P64" s="1">
        <f>=HYPERLINK("10.175.1.14\MWEB.12\ERR\EntityDetails.10.175.1.14.MWEB.12.Page Not Fou.-271130.xlsx", "&lt;Detail&gt;")</f>
      </c>
      <c r="Q64" s="1">
        <f>=HYPERLINK("10.175.1.14\MWEB.12\ERR\MetricGraphs.ERR.10.175.1.14.MWEB.12.xlsx", "&lt;Metrics&gt;")</f>
      </c>
      <c r="R64" s="0" t="s">
        <v>101</v>
      </c>
      <c r="S64" s="0" t="s">
        <v>145</v>
      </c>
      <c r="T64" s="0" t="s">
        <v>163</v>
      </c>
      <c r="U64" s="0" t="s">
        <v>114</v>
      </c>
    </row>
    <row r="65">
      <c r="A65" s="0" t="s">
        <v>28</v>
      </c>
      <c r="B65" s="0" t="s">
        <v>30</v>
      </c>
      <c r="C65" s="0" t="s">
        <v>162</v>
      </c>
      <c r="D65" s="0" t="s">
        <v>1708</v>
      </c>
      <c r="E65" s="0" t="s">
        <v>1635</v>
      </c>
      <c r="F65" s="0">
        <v>0</v>
      </c>
      <c r="G65" s="0">
        <v>1</v>
      </c>
      <c r="H65" s="0" t="s">
        <v>1708</v>
      </c>
      <c r="I65" s="0" t="s">
        <v>114</v>
      </c>
      <c r="J65" s="0" t="s">
        <v>114</v>
      </c>
      <c r="K65" s="0" t="s">
        <v>114</v>
      </c>
      <c r="L65" s="0" t="s">
        <v>114</v>
      </c>
      <c r="M65" s="0">
        <v>12</v>
      </c>
      <c r="N65" s="0">
        <v>40</v>
      </c>
      <c r="O65" s="0">
        <v>-511418</v>
      </c>
      <c r="P65" s="1">
        <f>=HYPERLINK("10.175.1.14\MWEB.12\ERR\EntityDetails.10.175.1.14.MWEB.12.PoolLimitSQL.-511418.xlsx", "&lt;Detail&gt;")</f>
      </c>
      <c r="Q65" s="1">
        <f>=HYPERLINK("10.175.1.14\MWEB.12\ERR\MetricGraphs.ERR.10.175.1.14.MWEB.12.xlsx", "&lt;Metrics&gt;")</f>
      </c>
      <c r="R65" s="0" t="s">
        <v>101</v>
      </c>
      <c r="S65" s="0" t="s">
        <v>145</v>
      </c>
      <c r="T65" s="0" t="s">
        <v>163</v>
      </c>
      <c r="U65" s="0" t="s">
        <v>114</v>
      </c>
    </row>
    <row r="66">
      <c r="A66" s="0" t="s">
        <v>28</v>
      </c>
      <c r="B66" s="0" t="s">
        <v>30</v>
      </c>
      <c r="C66" s="0" t="s">
        <v>164</v>
      </c>
      <c r="D66" s="0" t="s">
        <v>1636</v>
      </c>
      <c r="E66" s="0" t="s">
        <v>1635</v>
      </c>
      <c r="F66" s="0">
        <v>0</v>
      </c>
      <c r="G66" s="0">
        <v>4</v>
      </c>
      <c r="H66" s="0" t="s">
        <v>1637</v>
      </c>
      <c r="I66" s="0" t="s">
        <v>1638</v>
      </c>
      <c r="J66" s="0" t="s">
        <v>1639</v>
      </c>
      <c r="K66" s="0" t="s">
        <v>114</v>
      </c>
      <c r="L66" s="0" t="s">
        <v>114</v>
      </c>
      <c r="M66" s="0">
        <v>12</v>
      </c>
      <c r="N66" s="0">
        <v>36</v>
      </c>
      <c r="O66" s="0">
        <v>-367761</v>
      </c>
      <c r="P66" s="1">
        <f>=HYPERLINK("10.175.1.14\MWEB.12\ERR\EntityDetails.10.175.1.14.MWEB.12.com.mysql.cj.-367761.xlsx", "&lt;Detail&gt;")</f>
      </c>
      <c r="Q66" s="1">
        <f>=HYPERLINK("10.175.1.14\MWEB.12\ERR\MetricGraphs.ERR.10.175.1.14.MWEB.12.xlsx", "&lt;Metrics&gt;")</f>
      </c>
      <c r="R66" s="0" t="s">
        <v>101</v>
      </c>
      <c r="S66" s="0" t="s">
        <v>145</v>
      </c>
      <c r="T66" s="0" t="s">
        <v>165</v>
      </c>
      <c r="U66" s="0" t="s">
        <v>114</v>
      </c>
    </row>
    <row r="67">
      <c r="A67" s="0" t="s">
        <v>28</v>
      </c>
      <c r="B67" s="0" t="s">
        <v>30</v>
      </c>
      <c r="C67" s="0" t="s">
        <v>164</v>
      </c>
      <c r="D67" s="0" t="s">
        <v>1640</v>
      </c>
      <c r="E67" s="0" t="s">
        <v>1635</v>
      </c>
      <c r="F67" s="0">
        <v>0</v>
      </c>
      <c r="G67" s="0">
        <v>4</v>
      </c>
      <c r="H67" s="0" t="s">
        <v>1637</v>
      </c>
      <c r="I67" s="0" t="s">
        <v>1638</v>
      </c>
      <c r="J67" s="0" t="s">
        <v>1641</v>
      </c>
      <c r="K67" s="0" t="s">
        <v>114</v>
      </c>
      <c r="L67" s="0" t="s">
        <v>114</v>
      </c>
      <c r="M67" s="0">
        <v>12</v>
      </c>
      <c r="N67" s="0">
        <v>36</v>
      </c>
      <c r="O67" s="0">
        <v>-367749</v>
      </c>
      <c r="P67" s="1">
        <f>=HYPERLINK("10.175.1.14\MWEB.12\ERR\EntityDetails.10.175.1.14.MWEB.12.com.mysql.cj.-367749.xlsx", "&lt;Detail&gt;")</f>
      </c>
      <c r="Q67" s="1">
        <f>=HYPERLINK("10.175.1.14\MWEB.12\ERR\MetricGraphs.ERR.10.175.1.14.MWEB.12.xlsx", "&lt;Metrics&gt;")</f>
      </c>
      <c r="R67" s="0" t="s">
        <v>101</v>
      </c>
      <c r="S67" s="0" t="s">
        <v>145</v>
      </c>
      <c r="T67" s="0" t="s">
        <v>165</v>
      </c>
      <c r="U67" s="0" t="s">
        <v>114</v>
      </c>
    </row>
    <row r="68">
      <c r="A68" s="0" t="s">
        <v>28</v>
      </c>
      <c r="B68" s="0" t="s">
        <v>30</v>
      </c>
      <c r="C68" s="0" t="s">
        <v>164</v>
      </c>
      <c r="D68" s="0" t="s">
        <v>1642</v>
      </c>
      <c r="E68" s="0" t="s">
        <v>1635</v>
      </c>
      <c r="F68" s="0">
        <v>0</v>
      </c>
      <c r="G68" s="0">
        <v>5</v>
      </c>
      <c r="H68" s="0" t="s">
        <v>1637</v>
      </c>
      <c r="I68" s="0" t="s">
        <v>1638</v>
      </c>
      <c r="J68" s="0" t="s">
        <v>1643</v>
      </c>
      <c r="K68" s="0" t="s">
        <v>1641</v>
      </c>
      <c r="L68" s="0" t="s">
        <v>114</v>
      </c>
      <c r="M68" s="0">
        <v>12</v>
      </c>
      <c r="N68" s="0">
        <v>36</v>
      </c>
      <c r="O68" s="0">
        <v>-511434</v>
      </c>
      <c r="P68" s="1">
        <f>=HYPERLINK("10.175.1.14\MWEB.12\ERR\EntityDetails.10.175.1.14.MWEB.12.com.mysql.cj.-511434.xlsx", "&lt;Detail&gt;")</f>
      </c>
      <c r="Q68" s="1">
        <f>=HYPERLINK("10.175.1.14\MWEB.12\ERR\MetricGraphs.ERR.10.175.1.14.MWEB.12.xlsx", "&lt;Metrics&gt;")</f>
      </c>
      <c r="R68" s="0" t="s">
        <v>101</v>
      </c>
      <c r="S68" s="0" t="s">
        <v>145</v>
      </c>
      <c r="T68" s="0" t="s">
        <v>165</v>
      </c>
      <c r="U68" s="0" t="s">
        <v>114</v>
      </c>
    </row>
    <row r="69">
      <c r="A69" s="0" t="s">
        <v>28</v>
      </c>
      <c r="B69" s="0" t="s">
        <v>30</v>
      </c>
      <c r="C69" s="0" t="s">
        <v>164</v>
      </c>
      <c r="D69" s="0" t="s">
        <v>1644</v>
      </c>
      <c r="E69" s="0" t="s">
        <v>1635</v>
      </c>
      <c r="F69" s="0">
        <v>0</v>
      </c>
      <c r="G69" s="0">
        <v>2</v>
      </c>
      <c r="H69" s="0" t="s">
        <v>1645</v>
      </c>
      <c r="I69" s="0" t="s">
        <v>114</v>
      </c>
      <c r="J69" s="0" t="s">
        <v>114</v>
      </c>
      <c r="K69" s="0" t="s">
        <v>114</v>
      </c>
      <c r="L69" s="0" t="s">
        <v>114</v>
      </c>
      <c r="M69" s="0">
        <v>12</v>
      </c>
      <c r="N69" s="0">
        <v>36</v>
      </c>
      <c r="O69" s="0">
        <v>-511953</v>
      </c>
      <c r="P69" s="1">
        <f>=HYPERLINK("10.175.1.14\MWEB.12\ERR\EntityDetails.10.175.1.14.MWEB.12.com.mysql.cj.-511953.xlsx", "&lt;Detail&gt;")</f>
      </c>
      <c r="Q69" s="1">
        <f>=HYPERLINK("10.175.1.14\MWEB.12\ERR\MetricGraphs.ERR.10.175.1.14.MWEB.12.xlsx", "&lt;Metrics&gt;")</f>
      </c>
      <c r="R69" s="0" t="s">
        <v>101</v>
      </c>
      <c r="S69" s="0" t="s">
        <v>145</v>
      </c>
      <c r="T69" s="0" t="s">
        <v>165</v>
      </c>
      <c r="U69" s="0" t="s">
        <v>114</v>
      </c>
    </row>
    <row r="70">
      <c r="A70" s="0" t="s">
        <v>28</v>
      </c>
      <c r="B70" s="0" t="s">
        <v>30</v>
      </c>
      <c r="C70" s="0" t="s">
        <v>164</v>
      </c>
      <c r="D70" s="0" t="s">
        <v>1646</v>
      </c>
      <c r="E70" s="0" t="s">
        <v>1647</v>
      </c>
      <c r="F70" s="0">
        <v>400</v>
      </c>
      <c r="G70" s="0">
        <v>2</v>
      </c>
      <c r="H70" s="0" t="s">
        <v>1648</v>
      </c>
      <c r="I70" s="0" t="s">
        <v>1649</v>
      </c>
      <c r="J70" s="0" t="s">
        <v>114</v>
      </c>
      <c r="K70" s="0" t="s">
        <v>114</v>
      </c>
      <c r="L70" s="0" t="s">
        <v>114</v>
      </c>
      <c r="M70" s="0">
        <v>12</v>
      </c>
      <c r="N70" s="0">
        <v>36</v>
      </c>
      <c r="O70" s="0">
        <v>-513357</v>
      </c>
      <c r="P70" s="1">
        <f>=HYPERLINK("10.175.1.14\MWEB.12\ERR\EntityDetails.10.175.1.14.MWEB.12.HTTP Error C.-513357.xlsx", "&lt;Detail&gt;")</f>
      </c>
      <c r="Q70" s="1">
        <f>=HYPERLINK("10.175.1.14\MWEB.12\ERR\MetricGraphs.ERR.10.175.1.14.MWEB.12.xlsx", "&lt;Metrics&gt;")</f>
      </c>
      <c r="R70" s="0" t="s">
        <v>101</v>
      </c>
      <c r="S70" s="0" t="s">
        <v>145</v>
      </c>
      <c r="T70" s="0" t="s">
        <v>165</v>
      </c>
      <c r="U70" s="0" t="s">
        <v>114</v>
      </c>
    </row>
    <row r="71">
      <c r="A71" s="0" t="s">
        <v>28</v>
      </c>
      <c r="B71" s="0" t="s">
        <v>30</v>
      </c>
      <c r="C71" s="0" t="s">
        <v>164</v>
      </c>
      <c r="D71" s="0" t="s">
        <v>1650</v>
      </c>
      <c r="E71" s="0" t="s">
        <v>1647</v>
      </c>
      <c r="F71" s="0">
        <v>405</v>
      </c>
      <c r="G71" s="0">
        <v>2</v>
      </c>
      <c r="H71" s="0" t="s">
        <v>1648</v>
      </c>
      <c r="I71" s="0" t="s">
        <v>1651</v>
      </c>
      <c r="J71" s="0" t="s">
        <v>114</v>
      </c>
      <c r="K71" s="0" t="s">
        <v>114</v>
      </c>
      <c r="L71" s="0" t="s">
        <v>114</v>
      </c>
      <c r="M71" s="0">
        <v>12</v>
      </c>
      <c r="N71" s="0">
        <v>36</v>
      </c>
      <c r="O71" s="0">
        <v>-513361</v>
      </c>
      <c r="P71" s="1">
        <f>=HYPERLINK("10.175.1.14\MWEB.12\ERR\EntityDetails.10.175.1.14.MWEB.12.HTTP Error C.-513361.xlsx", "&lt;Detail&gt;")</f>
      </c>
      <c r="Q71" s="1">
        <f>=HYPERLINK("10.175.1.14\MWEB.12\ERR\MetricGraphs.ERR.10.175.1.14.MWEB.12.xlsx", "&lt;Metrics&gt;")</f>
      </c>
      <c r="R71" s="0" t="s">
        <v>101</v>
      </c>
      <c r="S71" s="0" t="s">
        <v>145</v>
      </c>
      <c r="T71" s="0" t="s">
        <v>165</v>
      </c>
      <c r="U71" s="0" t="s">
        <v>114</v>
      </c>
    </row>
    <row r="72">
      <c r="A72" s="0" t="s">
        <v>28</v>
      </c>
      <c r="B72" s="0" t="s">
        <v>30</v>
      </c>
      <c r="C72" s="0" t="s">
        <v>164</v>
      </c>
      <c r="D72" s="0" t="s">
        <v>1652</v>
      </c>
      <c r="E72" s="0" t="s">
        <v>1647</v>
      </c>
      <c r="F72" s="0">
        <v>501</v>
      </c>
      <c r="G72" s="0">
        <v>2</v>
      </c>
      <c r="H72" s="0" t="s">
        <v>1648</v>
      </c>
      <c r="I72" s="0" t="s">
        <v>1653</v>
      </c>
      <c r="J72" s="0" t="s">
        <v>114</v>
      </c>
      <c r="K72" s="0" t="s">
        <v>114</v>
      </c>
      <c r="L72" s="0" t="s">
        <v>114</v>
      </c>
      <c r="M72" s="0">
        <v>12</v>
      </c>
      <c r="N72" s="0">
        <v>36</v>
      </c>
      <c r="O72" s="0">
        <v>-513353</v>
      </c>
      <c r="P72" s="1">
        <f>=HYPERLINK("10.175.1.14\MWEB.12\ERR\EntityDetails.10.175.1.14.MWEB.12.HTTP Error C.-513353.xlsx", "&lt;Detail&gt;")</f>
      </c>
      <c r="Q72" s="1">
        <f>=HYPERLINK("10.175.1.14\MWEB.12\ERR\MetricGraphs.ERR.10.175.1.14.MWEB.12.xlsx", "&lt;Metrics&gt;")</f>
      </c>
      <c r="R72" s="0" t="s">
        <v>101</v>
      </c>
      <c r="S72" s="0" t="s">
        <v>145</v>
      </c>
      <c r="T72" s="0" t="s">
        <v>165</v>
      </c>
      <c r="U72" s="0" t="s">
        <v>114</v>
      </c>
    </row>
    <row r="73">
      <c r="A73" s="0" t="s">
        <v>28</v>
      </c>
      <c r="B73" s="0" t="s">
        <v>30</v>
      </c>
      <c r="C73" s="0" t="s">
        <v>164</v>
      </c>
      <c r="D73" s="0" t="s">
        <v>1654</v>
      </c>
      <c r="E73" s="0" t="s">
        <v>1647</v>
      </c>
      <c r="F73" s="0">
        <v>503</v>
      </c>
      <c r="G73" s="0">
        <v>2</v>
      </c>
      <c r="H73" s="0" t="s">
        <v>1648</v>
      </c>
      <c r="I73" s="0" t="s">
        <v>1655</v>
      </c>
      <c r="J73" s="0" t="s">
        <v>114</v>
      </c>
      <c r="K73" s="0" t="s">
        <v>114</v>
      </c>
      <c r="L73" s="0" t="s">
        <v>114</v>
      </c>
      <c r="M73" s="0">
        <v>12</v>
      </c>
      <c r="N73" s="0">
        <v>36</v>
      </c>
      <c r="O73" s="0">
        <v>-330594</v>
      </c>
      <c r="P73" s="1">
        <f>=HYPERLINK("10.175.1.14\MWEB.12\ERR\EntityDetails.10.175.1.14.MWEB.12.HTTP Error C.-330594.xlsx", "&lt;Detail&gt;")</f>
      </c>
      <c r="Q73" s="1">
        <f>=HYPERLINK("10.175.1.14\MWEB.12\ERR\MetricGraphs.ERR.10.175.1.14.MWEB.12.xlsx", "&lt;Metrics&gt;")</f>
      </c>
      <c r="R73" s="0" t="s">
        <v>101</v>
      </c>
      <c r="S73" s="0" t="s">
        <v>145</v>
      </c>
      <c r="T73" s="0" t="s">
        <v>165</v>
      </c>
      <c r="U73" s="0" t="s">
        <v>114</v>
      </c>
    </row>
    <row r="74">
      <c r="A74" s="0" t="s">
        <v>28</v>
      </c>
      <c r="B74" s="0" t="s">
        <v>30</v>
      </c>
      <c r="C74" s="0" t="s">
        <v>164</v>
      </c>
      <c r="D74" s="0" t="s">
        <v>1656</v>
      </c>
      <c r="E74" s="0" t="s">
        <v>1647</v>
      </c>
      <c r="F74" s="0">
        <v>505</v>
      </c>
      <c r="G74" s="0">
        <v>2</v>
      </c>
      <c r="H74" s="0" t="s">
        <v>1648</v>
      </c>
      <c r="I74" s="0" t="s">
        <v>1657</v>
      </c>
      <c r="J74" s="0" t="s">
        <v>114</v>
      </c>
      <c r="K74" s="0" t="s">
        <v>114</v>
      </c>
      <c r="L74" s="0" t="s">
        <v>114</v>
      </c>
      <c r="M74" s="0">
        <v>12</v>
      </c>
      <c r="N74" s="0">
        <v>36</v>
      </c>
      <c r="O74" s="0">
        <v>-513355</v>
      </c>
      <c r="P74" s="1">
        <f>=HYPERLINK("10.175.1.14\MWEB.12\ERR\EntityDetails.10.175.1.14.MWEB.12.HTTP Error C.-513355.xlsx", "&lt;Detail&gt;")</f>
      </c>
      <c r="Q74" s="1">
        <f>=HYPERLINK("10.175.1.14\MWEB.12\ERR\MetricGraphs.ERR.10.175.1.14.MWEB.12.xlsx", "&lt;Metrics&gt;")</f>
      </c>
      <c r="R74" s="0" t="s">
        <v>101</v>
      </c>
      <c r="S74" s="0" t="s">
        <v>145</v>
      </c>
      <c r="T74" s="0" t="s">
        <v>165</v>
      </c>
      <c r="U74" s="0" t="s">
        <v>114</v>
      </c>
    </row>
    <row r="75">
      <c r="A75" s="0" t="s">
        <v>28</v>
      </c>
      <c r="B75" s="0" t="s">
        <v>30</v>
      </c>
      <c r="C75" s="0" t="s">
        <v>164</v>
      </c>
      <c r="D75" s="0" t="s">
        <v>1658</v>
      </c>
      <c r="E75" s="0" t="s">
        <v>1647</v>
      </c>
      <c r="F75" s="0">
        <v>500</v>
      </c>
      <c r="G75" s="0">
        <v>2</v>
      </c>
      <c r="H75" s="0" t="s">
        <v>1659</v>
      </c>
      <c r="I75" s="0" t="s">
        <v>1660</v>
      </c>
      <c r="J75" s="0" t="s">
        <v>114</v>
      </c>
      <c r="K75" s="0" t="s">
        <v>114</v>
      </c>
      <c r="L75" s="0" t="s">
        <v>114</v>
      </c>
      <c r="M75" s="0">
        <v>12</v>
      </c>
      <c r="N75" s="0">
        <v>36</v>
      </c>
      <c r="O75" s="0">
        <v>-363083</v>
      </c>
      <c r="P75" s="1">
        <f>=HYPERLINK("10.175.1.14\MWEB.12\ERR\EntityDetails.10.175.1.14.MWEB.12.Internal Ser.-363083.xlsx", "&lt;Detail&gt;")</f>
      </c>
      <c r="Q75" s="1">
        <f>=HYPERLINK("10.175.1.14\MWEB.12\ERR\MetricGraphs.ERR.10.175.1.14.MWEB.12.xlsx", "&lt;Metrics&gt;")</f>
      </c>
      <c r="R75" s="0" t="s">
        <v>101</v>
      </c>
      <c r="S75" s="0" t="s">
        <v>145</v>
      </c>
      <c r="T75" s="0" t="s">
        <v>165</v>
      </c>
      <c r="U75" s="0" t="s">
        <v>114</v>
      </c>
    </row>
    <row r="76">
      <c r="A76" s="0" t="s">
        <v>28</v>
      </c>
      <c r="B76" s="0" t="s">
        <v>30</v>
      </c>
      <c r="C76" s="0" t="s">
        <v>164</v>
      </c>
      <c r="D76" s="0" t="s">
        <v>1661</v>
      </c>
      <c r="E76" s="0" t="s">
        <v>1635</v>
      </c>
      <c r="F76" s="0">
        <v>0</v>
      </c>
      <c r="G76" s="0">
        <v>2</v>
      </c>
      <c r="H76" s="0" t="s">
        <v>1662</v>
      </c>
      <c r="I76" s="0" t="s">
        <v>114</v>
      </c>
      <c r="J76" s="0" t="s">
        <v>114</v>
      </c>
      <c r="K76" s="0" t="s">
        <v>114</v>
      </c>
      <c r="L76" s="0" t="s">
        <v>114</v>
      </c>
      <c r="M76" s="0">
        <v>12</v>
      </c>
      <c r="N76" s="0">
        <v>36</v>
      </c>
      <c r="O76" s="0">
        <v>-331351</v>
      </c>
      <c r="P76" s="1">
        <f>=HYPERLINK("10.175.1.14\MWEB.12\ERR\EntityDetails.10.175.1.14.MWEB.12.java.io.File.-331351.xlsx", "&lt;Detail&gt;")</f>
      </c>
      <c r="Q76" s="1">
        <f>=HYPERLINK("10.175.1.14\MWEB.12\ERR\MetricGraphs.ERR.10.175.1.14.MWEB.12.xlsx", "&lt;Metrics&gt;")</f>
      </c>
      <c r="R76" s="0" t="s">
        <v>101</v>
      </c>
      <c r="S76" s="0" t="s">
        <v>145</v>
      </c>
      <c r="T76" s="0" t="s">
        <v>165</v>
      </c>
      <c r="U76" s="0" t="s">
        <v>114</v>
      </c>
    </row>
    <row r="77">
      <c r="A77" s="0" t="s">
        <v>28</v>
      </c>
      <c r="B77" s="0" t="s">
        <v>30</v>
      </c>
      <c r="C77" s="0" t="s">
        <v>164</v>
      </c>
      <c r="D77" s="0" t="s">
        <v>1709</v>
      </c>
      <c r="E77" s="0" t="s">
        <v>1635</v>
      </c>
      <c r="F77" s="0">
        <v>0</v>
      </c>
      <c r="G77" s="0">
        <v>2</v>
      </c>
      <c r="H77" s="0" t="s">
        <v>1710</v>
      </c>
      <c r="I77" s="0" t="s">
        <v>114</v>
      </c>
      <c r="J77" s="0" t="s">
        <v>114</v>
      </c>
      <c r="K77" s="0" t="s">
        <v>114</v>
      </c>
      <c r="L77" s="0" t="s">
        <v>114</v>
      </c>
      <c r="M77" s="0">
        <v>12</v>
      </c>
      <c r="N77" s="0">
        <v>36</v>
      </c>
      <c r="O77" s="0">
        <v>-362455</v>
      </c>
      <c r="P77" s="1">
        <f>=HYPERLINK("10.175.1.14\MWEB.12\ERR\EntityDetails.10.175.1.14.MWEB.12.java.lang.Cl.-362455.xlsx", "&lt;Detail&gt;")</f>
      </c>
      <c r="Q77" s="1">
        <f>=HYPERLINK("10.175.1.14\MWEB.12\ERR\MetricGraphs.ERR.10.175.1.14.MWEB.12.xlsx", "&lt;Metrics&gt;")</f>
      </c>
      <c r="R77" s="0" t="s">
        <v>101</v>
      </c>
      <c r="S77" s="0" t="s">
        <v>145</v>
      </c>
      <c r="T77" s="0" t="s">
        <v>165</v>
      </c>
      <c r="U77" s="0" t="s">
        <v>114</v>
      </c>
    </row>
    <row r="78">
      <c r="A78" s="0" t="s">
        <v>28</v>
      </c>
      <c r="B78" s="0" t="s">
        <v>30</v>
      </c>
      <c r="C78" s="0" t="s">
        <v>164</v>
      </c>
      <c r="D78" s="0" t="s">
        <v>1665</v>
      </c>
      <c r="E78" s="0" t="s">
        <v>1635</v>
      </c>
      <c r="F78" s="0">
        <v>0</v>
      </c>
      <c r="G78" s="0">
        <v>2</v>
      </c>
      <c r="H78" s="0" t="s">
        <v>1666</v>
      </c>
      <c r="I78" s="0" t="s">
        <v>114</v>
      </c>
      <c r="J78" s="0" t="s">
        <v>114</v>
      </c>
      <c r="K78" s="0" t="s">
        <v>114</v>
      </c>
      <c r="L78" s="0" t="s">
        <v>114</v>
      </c>
      <c r="M78" s="0">
        <v>12</v>
      </c>
      <c r="N78" s="0">
        <v>36</v>
      </c>
      <c r="O78" s="0">
        <v>-331167</v>
      </c>
      <c r="P78" s="1">
        <f>=HYPERLINK("10.175.1.14\MWEB.12\ERR\EntityDetails.10.175.1.14.MWEB.12.java.net.Con.-331167.xlsx", "&lt;Detail&gt;")</f>
      </c>
      <c r="Q78" s="1">
        <f>=HYPERLINK("10.175.1.14\MWEB.12\ERR\MetricGraphs.ERR.10.175.1.14.MWEB.12.xlsx", "&lt;Metrics&gt;")</f>
      </c>
      <c r="R78" s="0" t="s">
        <v>101</v>
      </c>
      <c r="S78" s="0" t="s">
        <v>145</v>
      </c>
      <c r="T78" s="0" t="s">
        <v>165</v>
      </c>
      <c r="U78" s="0" t="s">
        <v>114</v>
      </c>
    </row>
    <row r="79">
      <c r="A79" s="0" t="s">
        <v>28</v>
      </c>
      <c r="B79" s="0" t="s">
        <v>30</v>
      </c>
      <c r="C79" s="0" t="s">
        <v>164</v>
      </c>
      <c r="D79" s="0" t="s">
        <v>1711</v>
      </c>
      <c r="E79" s="0" t="s">
        <v>1635</v>
      </c>
      <c r="F79" s="0">
        <v>0</v>
      </c>
      <c r="G79" s="0">
        <v>2</v>
      </c>
      <c r="H79" s="0" t="s">
        <v>1712</v>
      </c>
      <c r="I79" s="0" t="s">
        <v>114</v>
      </c>
      <c r="J79" s="0" t="s">
        <v>114</v>
      </c>
      <c r="K79" s="0" t="s">
        <v>114</v>
      </c>
      <c r="L79" s="0" t="s">
        <v>114</v>
      </c>
      <c r="M79" s="0">
        <v>12</v>
      </c>
      <c r="N79" s="0">
        <v>36</v>
      </c>
      <c r="O79" s="0">
        <v>-480616</v>
      </c>
      <c r="P79" s="1">
        <f>=HYPERLINK("10.175.1.14\MWEB.12\ERR\EntityDetails.10.175.1.14.MWEB.12.java.net.Unk.-480616.xlsx", "&lt;Detail&gt;")</f>
      </c>
      <c r="Q79" s="1">
        <f>=HYPERLINK("10.175.1.14\MWEB.12\ERR\MetricGraphs.ERR.10.175.1.14.MWEB.12.xlsx", "&lt;Metrics&gt;")</f>
      </c>
      <c r="R79" s="0" t="s">
        <v>101</v>
      </c>
      <c r="S79" s="0" t="s">
        <v>145</v>
      </c>
      <c r="T79" s="0" t="s">
        <v>165</v>
      </c>
      <c r="U79" s="0" t="s">
        <v>114</v>
      </c>
    </row>
    <row r="80">
      <c r="A80" s="0" t="s">
        <v>28</v>
      </c>
      <c r="B80" s="0" t="s">
        <v>30</v>
      </c>
      <c r="C80" s="0" t="s">
        <v>164</v>
      </c>
      <c r="D80" s="0" t="s">
        <v>1670</v>
      </c>
      <c r="E80" s="0" t="s">
        <v>1635</v>
      </c>
      <c r="F80" s="0">
        <v>0</v>
      </c>
      <c r="G80" s="0">
        <v>2</v>
      </c>
      <c r="H80" s="0" t="s">
        <v>1671</v>
      </c>
      <c r="I80" s="0" t="s">
        <v>114</v>
      </c>
      <c r="J80" s="0" t="s">
        <v>114</v>
      </c>
      <c r="K80" s="0" t="s">
        <v>114</v>
      </c>
      <c r="L80" s="0" t="s">
        <v>114</v>
      </c>
      <c r="M80" s="0">
        <v>12</v>
      </c>
      <c r="N80" s="0">
        <v>36</v>
      </c>
      <c r="O80" s="0">
        <v>-390836</v>
      </c>
      <c r="P80" s="1">
        <f>=HYPERLINK("10.175.1.14\MWEB.12\ERR\EntityDetails.10.175.1.14.MWEB.12.java.sql.SQL.-390836.xlsx", "&lt;Detail&gt;")</f>
      </c>
      <c r="Q80" s="1">
        <f>=HYPERLINK("10.175.1.14\MWEB.12\ERR\MetricGraphs.ERR.10.175.1.14.MWEB.12.xlsx", "&lt;Metrics&gt;")</f>
      </c>
      <c r="R80" s="0" t="s">
        <v>101</v>
      </c>
      <c r="S80" s="0" t="s">
        <v>145</v>
      </c>
      <c r="T80" s="0" t="s">
        <v>165</v>
      </c>
      <c r="U80" s="0" t="s">
        <v>114</v>
      </c>
    </row>
    <row r="81">
      <c r="A81" s="0" t="s">
        <v>28</v>
      </c>
      <c r="B81" s="0" t="s">
        <v>30</v>
      </c>
      <c r="C81" s="0" t="s">
        <v>164</v>
      </c>
      <c r="D81" s="0" t="s">
        <v>1672</v>
      </c>
      <c r="E81" s="0" t="s">
        <v>1635</v>
      </c>
      <c r="F81" s="0">
        <v>0</v>
      </c>
      <c r="G81" s="0">
        <v>2</v>
      </c>
      <c r="H81" s="0" t="s">
        <v>1673</v>
      </c>
      <c r="I81" s="0" t="s">
        <v>114</v>
      </c>
      <c r="J81" s="0" t="s">
        <v>114</v>
      </c>
      <c r="K81" s="0" t="s">
        <v>114</v>
      </c>
      <c r="L81" s="0" t="s">
        <v>114</v>
      </c>
      <c r="M81" s="0">
        <v>12</v>
      </c>
      <c r="N81" s="0">
        <v>36</v>
      </c>
      <c r="O81" s="0">
        <v>-330910</v>
      </c>
      <c r="P81" s="1">
        <f>=HYPERLINK("10.175.1.14\MWEB.12\ERR\EntityDetails.10.175.1.14.MWEB.12.java.sql.SQL.-330910.xlsx", "&lt;Detail&gt;")</f>
      </c>
      <c r="Q81" s="1">
        <f>=HYPERLINK("10.175.1.14\MWEB.12\ERR\MetricGraphs.ERR.10.175.1.14.MWEB.12.xlsx", "&lt;Metrics&gt;")</f>
      </c>
      <c r="R81" s="0" t="s">
        <v>101</v>
      </c>
      <c r="S81" s="0" t="s">
        <v>145</v>
      </c>
      <c r="T81" s="0" t="s">
        <v>165</v>
      </c>
      <c r="U81" s="0" t="s">
        <v>114</v>
      </c>
    </row>
    <row r="82">
      <c r="A82" s="0" t="s">
        <v>28</v>
      </c>
      <c r="B82" s="0" t="s">
        <v>30</v>
      </c>
      <c r="C82" s="0" t="s">
        <v>164</v>
      </c>
      <c r="D82" s="0" t="s">
        <v>1677</v>
      </c>
      <c r="E82" s="0" t="s">
        <v>1647</v>
      </c>
      <c r="F82" s="0">
        <v>404</v>
      </c>
      <c r="G82" s="0">
        <v>2</v>
      </c>
      <c r="H82" s="0" t="s">
        <v>1678</v>
      </c>
      <c r="I82" s="0" t="s">
        <v>1679</v>
      </c>
      <c r="J82" s="0" t="s">
        <v>114</v>
      </c>
      <c r="K82" s="0" t="s">
        <v>114</v>
      </c>
      <c r="L82" s="0" t="s">
        <v>114</v>
      </c>
      <c r="M82" s="0">
        <v>12</v>
      </c>
      <c r="N82" s="0">
        <v>36</v>
      </c>
      <c r="O82" s="0">
        <v>-271101</v>
      </c>
      <c r="P82" s="1">
        <f>=HYPERLINK("10.175.1.14\MWEB.12\ERR\EntityDetails.10.175.1.14.MWEB.12.Page Not Fou.-271101.xlsx", "&lt;Detail&gt;")</f>
      </c>
      <c r="Q82" s="1">
        <f>=HYPERLINK("10.175.1.14\MWEB.12\ERR\MetricGraphs.ERR.10.175.1.14.MWEB.12.xlsx", "&lt;Metrics&gt;")</f>
      </c>
      <c r="R82" s="0" t="s">
        <v>101</v>
      </c>
      <c r="S82" s="0" t="s">
        <v>145</v>
      </c>
      <c r="T82" s="0" t="s">
        <v>165</v>
      </c>
      <c r="U82" s="0" t="s">
        <v>114</v>
      </c>
    </row>
    <row r="83">
      <c r="A83" s="0" t="s">
        <v>28</v>
      </c>
      <c r="B83" s="0" t="s">
        <v>30</v>
      </c>
      <c r="C83" s="0" t="s">
        <v>164</v>
      </c>
      <c r="D83" s="0" t="s">
        <v>1683</v>
      </c>
      <c r="E83" s="0" t="s">
        <v>1647</v>
      </c>
      <c r="F83" s="0">
        <v>401</v>
      </c>
      <c r="G83" s="0">
        <v>2</v>
      </c>
      <c r="H83" s="0" t="s">
        <v>1684</v>
      </c>
      <c r="I83" s="0" t="s">
        <v>1685</v>
      </c>
      <c r="J83" s="0" t="s">
        <v>114</v>
      </c>
      <c r="K83" s="0" t="s">
        <v>114</v>
      </c>
      <c r="L83" s="0" t="s">
        <v>114</v>
      </c>
      <c r="M83" s="0">
        <v>12</v>
      </c>
      <c r="N83" s="0">
        <v>36</v>
      </c>
      <c r="O83" s="0">
        <v>-331273</v>
      </c>
      <c r="P83" s="1">
        <f>=HYPERLINK("10.175.1.14\MWEB.12\ERR\EntityDetails.10.175.1.14.MWEB.12.Unauthorized.-331273.xlsx", "&lt;Detail&gt;")</f>
      </c>
      <c r="Q83" s="1">
        <f>=HYPERLINK("10.175.1.14\MWEB.12\ERR\MetricGraphs.ERR.10.175.1.14.MWEB.12.xlsx", "&lt;Metrics&gt;")</f>
      </c>
      <c r="R83" s="0" t="s">
        <v>101</v>
      </c>
      <c r="S83" s="0" t="s">
        <v>145</v>
      </c>
      <c r="T83" s="0" t="s">
        <v>165</v>
      </c>
      <c r="U83" s="0" t="s">
        <v>114</v>
      </c>
    </row>
    <row r="84">
      <c r="A84" s="0" t="s">
        <v>28</v>
      </c>
      <c r="B84" s="0" t="s">
        <v>30</v>
      </c>
      <c r="C84" s="0" t="s">
        <v>164</v>
      </c>
      <c r="D84" s="0" t="s">
        <v>1687</v>
      </c>
      <c r="E84" s="0" t="s">
        <v>1635</v>
      </c>
      <c r="F84" s="0">
        <v>0</v>
      </c>
      <c r="G84" s="0">
        <v>2</v>
      </c>
      <c r="H84" s="0" t="s">
        <v>1688</v>
      </c>
      <c r="I84" s="0" t="s">
        <v>114</v>
      </c>
      <c r="J84" s="0" t="s">
        <v>114</v>
      </c>
      <c r="K84" s="0" t="s">
        <v>114</v>
      </c>
      <c r="L84" s="0" t="s">
        <v>114</v>
      </c>
      <c r="M84" s="0">
        <v>12</v>
      </c>
      <c r="N84" s="0">
        <v>36</v>
      </c>
      <c r="O84" s="0">
        <v>-512539</v>
      </c>
      <c r="P84" s="1">
        <f>=HYPERLINK("10.175.1.14\MWEB.12\ERR\EntityDetails.10.175.1.14.MWEB.12.weblogic.jdb.-512539.xlsx", "&lt;Detail&gt;")</f>
      </c>
      <c r="Q84" s="1">
        <f>=HYPERLINK("10.175.1.14\MWEB.12\ERR\MetricGraphs.ERR.10.175.1.14.MWEB.12.xlsx", "&lt;Metrics&gt;")</f>
      </c>
      <c r="R84" s="0" t="s">
        <v>101</v>
      </c>
      <c r="S84" s="0" t="s">
        <v>145</v>
      </c>
      <c r="T84" s="0" t="s">
        <v>165</v>
      </c>
      <c r="U84" s="0" t="s">
        <v>114</v>
      </c>
    </row>
    <row r="85">
      <c r="A85" s="0" t="s">
        <v>28</v>
      </c>
      <c r="B85" s="0" t="s">
        <v>30</v>
      </c>
      <c r="C85" s="0" t="s">
        <v>166</v>
      </c>
      <c r="D85" s="0" t="s">
        <v>1636</v>
      </c>
      <c r="E85" s="0" t="s">
        <v>1635</v>
      </c>
      <c r="F85" s="0">
        <v>0</v>
      </c>
      <c r="G85" s="0">
        <v>4</v>
      </c>
      <c r="H85" s="0" t="s">
        <v>1637</v>
      </c>
      <c r="I85" s="0" t="s">
        <v>1638</v>
      </c>
      <c r="J85" s="0" t="s">
        <v>1639</v>
      </c>
      <c r="K85" s="0" t="s">
        <v>114</v>
      </c>
      <c r="L85" s="0" t="s">
        <v>114</v>
      </c>
      <c r="M85" s="0">
        <v>12</v>
      </c>
      <c r="N85" s="0">
        <v>37</v>
      </c>
      <c r="O85" s="0">
        <v>-367757</v>
      </c>
      <c r="P85" s="1">
        <f>=HYPERLINK("10.175.1.14\MWEB.12\ERR\EntityDetails.10.175.1.14.MWEB.12.com.mysql.cj.-367757.xlsx", "&lt;Detail&gt;")</f>
      </c>
      <c r="Q85" s="1">
        <f>=HYPERLINK("10.175.1.14\MWEB.12\ERR\MetricGraphs.ERR.10.175.1.14.MWEB.12.xlsx", "&lt;Metrics&gt;")</f>
      </c>
      <c r="R85" s="0" t="s">
        <v>101</v>
      </c>
      <c r="S85" s="0" t="s">
        <v>145</v>
      </c>
      <c r="T85" s="0" t="s">
        <v>167</v>
      </c>
      <c r="U85" s="0" t="s">
        <v>114</v>
      </c>
    </row>
    <row r="86">
      <c r="A86" s="0" t="s">
        <v>28</v>
      </c>
      <c r="B86" s="0" t="s">
        <v>30</v>
      </c>
      <c r="C86" s="0" t="s">
        <v>166</v>
      </c>
      <c r="D86" s="0" t="s">
        <v>1640</v>
      </c>
      <c r="E86" s="0" t="s">
        <v>1635</v>
      </c>
      <c r="F86" s="0">
        <v>0</v>
      </c>
      <c r="G86" s="0">
        <v>4</v>
      </c>
      <c r="H86" s="0" t="s">
        <v>1637</v>
      </c>
      <c r="I86" s="0" t="s">
        <v>1638</v>
      </c>
      <c r="J86" s="0" t="s">
        <v>1641</v>
      </c>
      <c r="K86" s="0" t="s">
        <v>114</v>
      </c>
      <c r="L86" s="0" t="s">
        <v>114</v>
      </c>
      <c r="M86" s="0">
        <v>12</v>
      </c>
      <c r="N86" s="0">
        <v>37</v>
      </c>
      <c r="O86" s="0">
        <v>-367745</v>
      </c>
      <c r="P86" s="1">
        <f>=HYPERLINK("10.175.1.14\MWEB.12\ERR\EntityDetails.10.175.1.14.MWEB.12.com.mysql.cj.-367745.xlsx", "&lt;Detail&gt;")</f>
      </c>
      <c r="Q86" s="1">
        <f>=HYPERLINK("10.175.1.14\MWEB.12\ERR\MetricGraphs.ERR.10.175.1.14.MWEB.12.xlsx", "&lt;Metrics&gt;")</f>
      </c>
      <c r="R86" s="0" t="s">
        <v>101</v>
      </c>
      <c r="S86" s="0" t="s">
        <v>145</v>
      </c>
      <c r="T86" s="0" t="s">
        <v>167</v>
      </c>
      <c r="U86" s="0" t="s">
        <v>114</v>
      </c>
    </row>
    <row r="87">
      <c r="A87" s="0" t="s">
        <v>28</v>
      </c>
      <c r="B87" s="0" t="s">
        <v>30</v>
      </c>
      <c r="C87" s="0" t="s">
        <v>166</v>
      </c>
      <c r="D87" s="0" t="s">
        <v>1642</v>
      </c>
      <c r="E87" s="0" t="s">
        <v>1635</v>
      </c>
      <c r="F87" s="0">
        <v>0</v>
      </c>
      <c r="G87" s="0">
        <v>5</v>
      </c>
      <c r="H87" s="0" t="s">
        <v>1637</v>
      </c>
      <c r="I87" s="0" t="s">
        <v>1638</v>
      </c>
      <c r="J87" s="0" t="s">
        <v>1643</v>
      </c>
      <c r="K87" s="0" t="s">
        <v>1641</v>
      </c>
      <c r="L87" s="0" t="s">
        <v>114</v>
      </c>
      <c r="M87" s="0">
        <v>12</v>
      </c>
      <c r="N87" s="0">
        <v>37</v>
      </c>
      <c r="O87" s="0">
        <v>-511426</v>
      </c>
      <c r="P87" s="1">
        <f>=HYPERLINK("10.175.1.14\MWEB.12\ERR\EntityDetails.10.175.1.14.MWEB.12.com.mysql.cj.-511426.xlsx", "&lt;Detail&gt;")</f>
      </c>
      <c r="Q87" s="1">
        <f>=HYPERLINK("10.175.1.14\MWEB.12\ERR\MetricGraphs.ERR.10.175.1.14.MWEB.12.xlsx", "&lt;Metrics&gt;")</f>
      </c>
      <c r="R87" s="0" t="s">
        <v>101</v>
      </c>
      <c r="S87" s="0" t="s">
        <v>145</v>
      </c>
      <c r="T87" s="0" t="s">
        <v>167</v>
      </c>
      <c r="U87" s="0" t="s">
        <v>114</v>
      </c>
    </row>
    <row r="88">
      <c r="A88" s="0" t="s">
        <v>28</v>
      </c>
      <c r="B88" s="0" t="s">
        <v>30</v>
      </c>
      <c r="C88" s="0" t="s">
        <v>166</v>
      </c>
      <c r="D88" s="0" t="s">
        <v>1646</v>
      </c>
      <c r="E88" s="0" t="s">
        <v>1647</v>
      </c>
      <c r="F88" s="0">
        <v>400</v>
      </c>
      <c r="G88" s="0">
        <v>2</v>
      </c>
      <c r="H88" s="0" t="s">
        <v>1648</v>
      </c>
      <c r="I88" s="0" t="s">
        <v>1649</v>
      </c>
      <c r="J88" s="0" t="s">
        <v>114</v>
      </c>
      <c r="K88" s="0" t="s">
        <v>114</v>
      </c>
      <c r="L88" s="0" t="s">
        <v>114</v>
      </c>
      <c r="M88" s="0">
        <v>12</v>
      </c>
      <c r="N88" s="0">
        <v>37</v>
      </c>
      <c r="O88" s="0">
        <v>-513351</v>
      </c>
      <c r="P88" s="1">
        <f>=HYPERLINK("10.175.1.14\MWEB.12\ERR\EntityDetails.10.175.1.14.MWEB.12.HTTP Error C.-513351.xlsx", "&lt;Detail&gt;")</f>
      </c>
      <c r="Q88" s="1">
        <f>=HYPERLINK("10.175.1.14\MWEB.12\ERR\MetricGraphs.ERR.10.175.1.14.MWEB.12.xlsx", "&lt;Metrics&gt;")</f>
      </c>
      <c r="R88" s="0" t="s">
        <v>101</v>
      </c>
      <c r="S88" s="0" t="s">
        <v>145</v>
      </c>
      <c r="T88" s="0" t="s">
        <v>167</v>
      </c>
      <c r="U88" s="0" t="s">
        <v>114</v>
      </c>
    </row>
    <row r="89">
      <c r="A89" s="0" t="s">
        <v>28</v>
      </c>
      <c r="B89" s="0" t="s">
        <v>30</v>
      </c>
      <c r="C89" s="0" t="s">
        <v>166</v>
      </c>
      <c r="D89" s="0" t="s">
        <v>1652</v>
      </c>
      <c r="E89" s="0" t="s">
        <v>1647</v>
      </c>
      <c r="F89" s="0">
        <v>501</v>
      </c>
      <c r="G89" s="0">
        <v>2</v>
      </c>
      <c r="H89" s="0" t="s">
        <v>1648</v>
      </c>
      <c r="I89" s="0" t="s">
        <v>1653</v>
      </c>
      <c r="J89" s="0" t="s">
        <v>114</v>
      </c>
      <c r="K89" s="0" t="s">
        <v>114</v>
      </c>
      <c r="L89" s="0" t="s">
        <v>114</v>
      </c>
      <c r="M89" s="0">
        <v>12</v>
      </c>
      <c r="N89" s="0">
        <v>37</v>
      </c>
      <c r="O89" s="0">
        <v>-513359</v>
      </c>
      <c r="P89" s="1">
        <f>=HYPERLINK("10.175.1.14\MWEB.12\ERR\EntityDetails.10.175.1.14.MWEB.12.HTTP Error C.-513359.xlsx", "&lt;Detail&gt;")</f>
      </c>
      <c r="Q89" s="1">
        <f>=HYPERLINK("10.175.1.14\MWEB.12\ERR\MetricGraphs.ERR.10.175.1.14.MWEB.12.xlsx", "&lt;Metrics&gt;")</f>
      </c>
      <c r="R89" s="0" t="s">
        <v>101</v>
      </c>
      <c r="S89" s="0" t="s">
        <v>145</v>
      </c>
      <c r="T89" s="0" t="s">
        <v>167</v>
      </c>
      <c r="U89" s="0" t="s">
        <v>114</v>
      </c>
    </row>
    <row r="90">
      <c r="A90" s="0" t="s">
        <v>28</v>
      </c>
      <c r="B90" s="0" t="s">
        <v>30</v>
      </c>
      <c r="C90" s="0" t="s">
        <v>166</v>
      </c>
      <c r="D90" s="0" t="s">
        <v>1654</v>
      </c>
      <c r="E90" s="0" t="s">
        <v>1647</v>
      </c>
      <c r="F90" s="0">
        <v>503</v>
      </c>
      <c r="G90" s="0">
        <v>2</v>
      </c>
      <c r="H90" s="0" t="s">
        <v>1648</v>
      </c>
      <c r="I90" s="0" t="s">
        <v>1655</v>
      </c>
      <c r="J90" s="0" t="s">
        <v>114</v>
      </c>
      <c r="K90" s="0" t="s">
        <v>114</v>
      </c>
      <c r="L90" s="0" t="s">
        <v>114</v>
      </c>
      <c r="M90" s="0">
        <v>12</v>
      </c>
      <c r="N90" s="0">
        <v>37</v>
      </c>
      <c r="O90" s="0">
        <v>-360834</v>
      </c>
      <c r="P90" s="1">
        <f>=HYPERLINK("10.175.1.14\MWEB.12\ERR\EntityDetails.10.175.1.14.MWEB.12.HTTP Error C.-360834.xlsx", "&lt;Detail&gt;")</f>
      </c>
      <c r="Q90" s="1">
        <f>=HYPERLINK("10.175.1.14\MWEB.12\ERR\MetricGraphs.ERR.10.175.1.14.MWEB.12.xlsx", "&lt;Metrics&gt;")</f>
      </c>
      <c r="R90" s="0" t="s">
        <v>101</v>
      </c>
      <c r="S90" s="0" t="s">
        <v>145</v>
      </c>
      <c r="T90" s="0" t="s">
        <v>167</v>
      </c>
      <c r="U90" s="0" t="s">
        <v>114</v>
      </c>
    </row>
    <row r="91">
      <c r="A91" s="0" t="s">
        <v>28</v>
      </c>
      <c r="B91" s="0" t="s">
        <v>30</v>
      </c>
      <c r="C91" s="0" t="s">
        <v>166</v>
      </c>
      <c r="D91" s="0" t="s">
        <v>1656</v>
      </c>
      <c r="E91" s="0" t="s">
        <v>1647</v>
      </c>
      <c r="F91" s="0">
        <v>505</v>
      </c>
      <c r="G91" s="0">
        <v>2</v>
      </c>
      <c r="H91" s="0" t="s">
        <v>1648</v>
      </c>
      <c r="I91" s="0" t="s">
        <v>1657</v>
      </c>
      <c r="J91" s="0" t="s">
        <v>114</v>
      </c>
      <c r="K91" s="0" t="s">
        <v>114</v>
      </c>
      <c r="L91" s="0" t="s">
        <v>114</v>
      </c>
      <c r="M91" s="0">
        <v>12</v>
      </c>
      <c r="N91" s="0">
        <v>37</v>
      </c>
      <c r="O91" s="0">
        <v>-513349</v>
      </c>
      <c r="P91" s="1">
        <f>=HYPERLINK("10.175.1.14\MWEB.12\ERR\EntityDetails.10.175.1.14.MWEB.12.HTTP Error C.-513349.xlsx", "&lt;Detail&gt;")</f>
      </c>
      <c r="Q91" s="1">
        <f>=HYPERLINK("10.175.1.14\MWEB.12\ERR\MetricGraphs.ERR.10.175.1.14.MWEB.12.xlsx", "&lt;Metrics&gt;")</f>
      </c>
      <c r="R91" s="0" t="s">
        <v>101</v>
      </c>
      <c r="S91" s="0" t="s">
        <v>145</v>
      </c>
      <c r="T91" s="0" t="s">
        <v>167</v>
      </c>
      <c r="U91" s="0" t="s">
        <v>114</v>
      </c>
    </row>
    <row r="92">
      <c r="A92" s="0" t="s">
        <v>28</v>
      </c>
      <c r="B92" s="0" t="s">
        <v>30</v>
      </c>
      <c r="C92" s="0" t="s">
        <v>166</v>
      </c>
      <c r="D92" s="0" t="s">
        <v>1658</v>
      </c>
      <c r="E92" s="0" t="s">
        <v>1647</v>
      </c>
      <c r="F92" s="0">
        <v>500</v>
      </c>
      <c r="G92" s="0">
        <v>2</v>
      </c>
      <c r="H92" s="0" t="s">
        <v>1659</v>
      </c>
      <c r="I92" s="0" t="s">
        <v>1660</v>
      </c>
      <c r="J92" s="0" t="s">
        <v>114</v>
      </c>
      <c r="K92" s="0" t="s">
        <v>114</v>
      </c>
      <c r="L92" s="0" t="s">
        <v>114</v>
      </c>
      <c r="M92" s="0">
        <v>12</v>
      </c>
      <c r="N92" s="0">
        <v>37</v>
      </c>
      <c r="O92" s="0">
        <v>-367737</v>
      </c>
      <c r="P92" s="1">
        <f>=HYPERLINK("10.175.1.14\MWEB.12\ERR\EntityDetails.10.175.1.14.MWEB.12.Internal Ser.-367737.xlsx", "&lt;Detail&gt;")</f>
      </c>
      <c r="Q92" s="1">
        <f>=HYPERLINK("10.175.1.14\MWEB.12\ERR\MetricGraphs.ERR.10.175.1.14.MWEB.12.xlsx", "&lt;Metrics&gt;")</f>
      </c>
      <c r="R92" s="0" t="s">
        <v>101</v>
      </c>
      <c r="S92" s="0" t="s">
        <v>145</v>
      </c>
      <c r="T92" s="0" t="s">
        <v>167</v>
      </c>
      <c r="U92" s="0" t="s">
        <v>114</v>
      </c>
    </row>
    <row r="93">
      <c r="A93" s="0" t="s">
        <v>28</v>
      </c>
      <c r="B93" s="0" t="s">
        <v>30</v>
      </c>
      <c r="C93" s="0" t="s">
        <v>166</v>
      </c>
      <c r="D93" s="0" t="s">
        <v>1661</v>
      </c>
      <c r="E93" s="0" t="s">
        <v>1635</v>
      </c>
      <c r="F93" s="0">
        <v>0</v>
      </c>
      <c r="G93" s="0">
        <v>2</v>
      </c>
      <c r="H93" s="0" t="s">
        <v>1662</v>
      </c>
      <c r="I93" s="0" t="s">
        <v>114</v>
      </c>
      <c r="J93" s="0" t="s">
        <v>114</v>
      </c>
      <c r="K93" s="0" t="s">
        <v>114</v>
      </c>
      <c r="L93" s="0" t="s">
        <v>114</v>
      </c>
      <c r="M93" s="0">
        <v>12</v>
      </c>
      <c r="N93" s="0">
        <v>37</v>
      </c>
      <c r="O93" s="0">
        <v>-360641</v>
      </c>
      <c r="P93" s="1">
        <f>=HYPERLINK("10.175.1.14\MWEB.12\ERR\EntityDetails.10.175.1.14.MWEB.12.java.io.File.-360641.xlsx", "&lt;Detail&gt;")</f>
      </c>
      <c r="Q93" s="1">
        <f>=HYPERLINK("10.175.1.14\MWEB.12\ERR\MetricGraphs.ERR.10.175.1.14.MWEB.12.xlsx", "&lt;Metrics&gt;")</f>
      </c>
      <c r="R93" s="0" t="s">
        <v>101</v>
      </c>
      <c r="S93" s="0" t="s">
        <v>145</v>
      </c>
      <c r="T93" s="0" t="s">
        <v>167</v>
      </c>
      <c r="U93" s="0" t="s">
        <v>114</v>
      </c>
    </row>
    <row r="94">
      <c r="A94" s="0" t="s">
        <v>28</v>
      </c>
      <c r="B94" s="0" t="s">
        <v>30</v>
      </c>
      <c r="C94" s="0" t="s">
        <v>166</v>
      </c>
      <c r="D94" s="0" t="s">
        <v>1665</v>
      </c>
      <c r="E94" s="0" t="s">
        <v>1635</v>
      </c>
      <c r="F94" s="0">
        <v>0</v>
      </c>
      <c r="G94" s="0">
        <v>2</v>
      </c>
      <c r="H94" s="0" t="s">
        <v>1666</v>
      </c>
      <c r="I94" s="0" t="s">
        <v>114</v>
      </c>
      <c r="J94" s="0" t="s">
        <v>114</v>
      </c>
      <c r="K94" s="0" t="s">
        <v>114</v>
      </c>
      <c r="L94" s="0" t="s">
        <v>114</v>
      </c>
      <c r="M94" s="0">
        <v>12</v>
      </c>
      <c r="N94" s="0">
        <v>37</v>
      </c>
      <c r="O94" s="0">
        <v>-360720</v>
      </c>
      <c r="P94" s="1">
        <f>=HYPERLINK("10.175.1.14\MWEB.12\ERR\EntityDetails.10.175.1.14.MWEB.12.java.net.Con.-360720.xlsx", "&lt;Detail&gt;")</f>
      </c>
      <c r="Q94" s="1">
        <f>=HYPERLINK("10.175.1.14\MWEB.12\ERR\MetricGraphs.ERR.10.175.1.14.MWEB.12.xlsx", "&lt;Metrics&gt;")</f>
      </c>
      <c r="R94" s="0" t="s">
        <v>101</v>
      </c>
      <c r="S94" s="0" t="s">
        <v>145</v>
      </c>
      <c r="T94" s="0" t="s">
        <v>167</v>
      </c>
      <c r="U94" s="0" t="s">
        <v>114</v>
      </c>
    </row>
    <row r="95">
      <c r="A95" s="0" t="s">
        <v>28</v>
      </c>
      <c r="B95" s="0" t="s">
        <v>30</v>
      </c>
      <c r="C95" s="0" t="s">
        <v>166</v>
      </c>
      <c r="D95" s="0" t="s">
        <v>1711</v>
      </c>
      <c r="E95" s="0" t="s">
        <v>1635</v>
      </c>
      <c r="F95" s="0">
        <v>0</v>
      </c>
      <c r="G95" s="0">
        <v>2</v>
      </c>
      <c r="H95" s="0" t="s">
        <v>1712</v>
      </c>
      <c r="I95" s="0" t="s">
        <v>114</v>
      </c>
      <c r="J95" s="0" t="s">
        <v>114</v>
      </c>
      <c r="K95" s="0" t="s">
        <v>114</v>
      </c>
      <c r="L95" s="0" t="s">
        <v>114</v>
      </c>
      <c r="M95" s="0">
        <v>12</v>
      </c>
      <c r="N95" s="0">
        <v>37</v>
      </c>
      <c r="O95" s="0">
        <v>-480594</v>
      </c>
      <c r="P95" s="1">
        <f>=HYPERLINK("10.175.1.14\MWEB.12\ERR\EntityDetails.10.175.1.14.MWEB.12.java.net.Unk.-480594.xlsx", "&lt;Detail&gt;")</f>
      </c>
      <c r="Q95" s="1">
        <f>=HYPERLINK("10.175.1.14\MWEB.12\ERR\MetricGraphs.ERR.10.175.1.14.MWEB.12.xlsx", "&lt;Metrics&gt;")</f>
      </c>
      <c r="R95" s="0" t="s">
        <v>101</v>
      </c>
      <c r="S95" s="0" t="s">
        <v>145</v>
      </c>
      <c r="T95" s="0" t="s">
        <v>167</v>
      </c>
      <c r="U95" s="0" t="s">
        <v>114</v>
      </c>
    </row>
    <row r="96">
      <c r="A96" s="0" t="s">
        <v>28</v>
      </c>
      <c r="B96" s="0" t="s">
        <v>30</v>
      </c>
      <c r="C96" s="0" t="s">
        <v>166</v>
      </c>
      <c r="D96" s="0" t="s">
        <v>1670</v>
      </c>
      <c r="E96" s="0" t="s">
        <v>1635</v>
      </c>
      <c r="F96" s="0">
        <v>0</v>
      </c>
      <c r="G96" s="0">
        <v>2</v>
      </c>
      <c r="H96" s="0" t="s">
        <v>1671</v>
      </c>
      <c r="I96" s="0" t="s">
        <v>114</v>
      </c>
      <c r="J96" s="0" t="s">
        <v>114</v>
      </c>
      <c r="K96" s="0" t="s">
        <v>114</v>
      </c>
      <c r="L96" s="0" t="s">
        <v>114</v>
      </c>
      <c r="M96" s="0">
        <v>12</v>
      </c>
      <c r="N96" s="0">
        <v>37</v>
      </c>
      <c r="O96" s="0">
        <v>-390832</v>
      </c>
      <c r="P96" s="1">
        <f>=HYPERLINK("10.175.1.14\MWEB.12\ERR\EntityDetails.10.175.1.14.MWEB.12.java.sql.SQL.-390832.xlsx", "&lt;Detail&gt;")</f>
      </c>
      <c r="Q96" s="1">
        <f>=HYPERLINK("10.175.1.14\MWEB.12\ERR\MetricGraphs.ERR.10.175.1.14.MWEB.12.xlsx", "&lt;Metrics&gt;")</f>
      </c>
      <c r="R96" s="0" t="s">
        <v>101</v>
      </c>
      <c r="S96" s="0" t="s">
        <v>145</v>
      </c>
      <c r="T96" s="0" t="s">
        <v>167</v>
      </c>
      <c r="U96" s="0" t="s">
        <v>114</v>
      </c>
    </row>
    <row r="97">
      <c r="A97" s="0" t="s">
        <v>28</v>
      </c>
      <c r="B97" s="0" t="s">
        <v>30</v>
      </c>
      <c r="C97" s="0" t="s">
        <v>166</v>
      </c>
      <c r="D97" s="0" t="s">
        <v>1677</v>
      </c>
      <c r="E97" s="0" t="s">
        <v>1647</v>
      </c>
      <c r="F97" s="0">
        <v>404</v>
      </c>
      <c r="G97" s="0">
        <v>2</v>
      </c>
      <c r="H97" s="0" t="s">
        <v>1678</v>
      </c>
      <c r="I97" s="0" t="s">
        <v>1679</v>
      </c>
      <c r="J97" s="0" t="s">
        <v>114</v>
      </c>
      <c r="K97" s="0" t="s">
        <v>114</v>
      </c>
      <c r="L97" s="0" t="s">
        <v>114</v>
      </c>
      <c r="M97" s="0">
        <v>12</v>
      </c>
      <c r="N97" s="0">
        <v>37</v>
      </c>
      <c r="O97" s="0">
        <v>-271114</v>
      </c>
      <c r="P97" s="1">
        <f>=HYPERLINK("10.175.1.14\MWEB.12\ERR\EntityDetails.10.175.1.14.MWEB.12.Page Not Fou.-271114.xlsx", "&lt;Detail&gt;")</f>
      </c>
      <c r="Q97" s="1">
        <f>=HYPERLINK("10.175.1.14\MWEB.12\ERR\MetricGraphs.ERR.10.175.1.14.MWEB.12.xlsx", "&lt;Metrics&gt;")</f>
      </c>
      <c r="R97" s="0" t="s">
        <v>101</v>
      </c>
      <c r="S97" s="0" t="s">
        <v>145</v>
      </c>
      <c r="T97" s="0" t="s">
        <v>167</v>
      </c>
      <c r="U97" s="0" t="s">
        <v>114</v>
      </c>
    </row>
    <row r="98">
      <c r="A98" s="0" t="s">
        <v>28</v>
      </c>
      <c r="B98" s="0" t="s">
        <v>30</v>
      </c>
      <c r="C98" s="0" t="s">
        <v>168</v>
      </c>
      <c r="D98" s="0" t="s">
        <v>1636</v>
      </c>
      <c r="E98" s="0" t="s">
        <v>1635</v>
      </c>
      <c r="F98" s="0">
        <v>0</v>
      </c>
      <c r="G98" s="0">
        <v>4</v>
      </c>
      <c r="H98" s="0" t="s">
        <v>1637</v>
      </c>
      <c r="I98" s="0" t="s">
        <v>1638</v>
      </c>
      <c r="J98" s="0" t="s">
        <v>1639</v>
      </c>
      <c r="K98" s="0" t="s">
        <v>114</v>
      </c>
      <c r="L98" s="0" t="s">
        <v>114</v>
      </c>
      <c r="M98" s="0">
        <v>12</v>
      </c>
      <c r="N98" s="0">
        <v>38</v>
      </c>
      <c r="O98" s="0">
        <v>-367753</v>
      </c>
      <c r="P98" s="1">
        <f>=HYPERLINK("10.175.1.14\MWEB.12\ERR\EntityDetails.10.175.1.14.MWEB.12.com.mysql.cj.-367753.xlsx", "&lt;Detail&gt;")</f>
      </c>
      <c r="Q98" s="1">
        <f>=HYPERLINK("10.175.1.14\MWEB.12\ERR\MetricGraphs.ERR.10.175.1.14.MWEB.12.xlsx", "&lt;Metrics&gt;")</f>
      </c>
      <c r="R98" s="0" t="s">
        <v>101</v>
      </c>
      <c r="S98" s="0" t="s">
        <v>145</v>
      </c>
      <c r="T98" s="0" t="s">
        <v>169</v>
      </c>
      <c r="U98" s="0" t="s">
        <v>114</v>
      </c>
    </row>
    <row r="99">
      <c r="A99" s="0" t="s">
        <v>28</v>
      </c>
      <c r="B99" s="0" t="s">
        <v>30</v>
      </c>
      <c r="C99" s="0" t="s">
        <v>168</v>
      </c>
      <c r="D99" s="0" t="s">
        <v>1640</v>
      </c>
      <c r="E99" s="0" t="s">
        <v>1635</v>
      </c>
      <c r="F99" s="0">
        <v>0</v>
      </c>
      <c r="G99" s="0">
        <v>4</v>
      </c>
      <c r="H99" s="0" t="s">
        <v>1637</v>
      </c>
      <c r="I99" s="0" t="s">
        <v>1638</v>
      </c>
      <c r="J99" s="0" t="s">
        <v>1641</v>
      </c>
      <c r="K99" s="0" t="s">
        <v>114</v>
      </c>
      <c r="L99" s="0" t="s">
        <v>114</v>
      </c>
      <c r="M99" s="0">
        <v>12</v>
      </c>
      <c r="N99" s="0">
        <v>38</v>
      </c>
      <c r="O99" s="0">
        <v>-367741</v>
      </c>
      <c r="P99" s="1">
        <f>=HYPERLINK("10.175.1.14\MWEB.12\ERR\EntityDetails.10.175.1.14.MWEB.12.com.mysql.cj.-367741.xlsx", "&lt;Detail&gt;")</f>
      </c>
      <c r="Q99" s="1">
        <f>=HYPERLINK("10.175.1.14\MWEB.12\ERR\MetricGraphs.ERR.10.175.1.14.MWEB.12.xlsx", "&lt;Metrics&gt;")</f>
      </c>
      <c r="R99" s="0" t="s">
        <v>101</v>
      </c>
      <c r="S99" s="0" t="s">
        <v>145</v>
      </c>
      <c r="T99" s="0" t="s">
        <v>169</v>
      </c>
      <c r="U99" s="0" t="s">
        <v>114</v>
      </c>
    </row>
    <row r="100">
      <c r="A100" s="0" t="s">
        <v>28</v>
      </c>
      <c r="B100" s="0" t="s">
        <v>30</v>
      </c>
      <c r="C100" s="0" t="s">
        <v>168</v>
      </c>
      <c r="D100" s="0" t="s">
        <v>1642</v>
      </c>
      <c r="E100" s="0" t="s">
        <v>1635</v>
      </c>
      <c r="F100" s="0">
        <v>0</v>
      </c>
      <c r="G100" s="0">
        <v>5</v>
      </c>
      <c r="H100" s="0" t="s">
        <v>1637</v>
      </c>
      <c r="I100" s="0" t="s">
        <v>1638</v>
      </c>
      <c r="J100" s="0" t="s">
        <v>1643</v>
      </c>
      <c r="K100" s="0" t="s">
        <v>1641</v>
      </c>
      <c r="L100" s="0" t="s">
        <v>114</v>
      </c>
      <c r="M100" s="0">
        <v>12</v>
      </c>
      <c r="N100" s="0">
        <v>38</v>
      </c>
      <c r="O100" s="0">
        <v>-511428</v>
      </c>
      <c r="P100" s="1">
        <f>=HYPERLINK("10.175.1.14\MWEB.12\ERR\EntityDetails.10.175.1.14.MWEB.12.com.mysql.cj.-511428.xlsx", "&lt;Detail&gt;")</f>
      </c>
      <c r="Q100" s="1">
        <f>=HYPERLINK("10.175.1.14\MWEB.12\ERR\MetricGraphs.ERR.10.175.1.14.MWEB.12.xlsx", "&lt;Metrics&gt;")</f>
      </c>
      <c r="R100" s="0" t="s">
        <v>101</v>
      </c>
      <c r="S100" s="0" t="s">
        <v>145</v>
      </c>
      <c r="T100" s="0" t="s">
        <v>169</v>
      </c>
      <c r="U100" s="0" t="s">
        <v>114</v>
      </c>
    </row>
    <row r="101">
      <c r="A101" s="0" t="s">
        <v>28</v>
      </c>
      <c r="B101" s="0" t="s">
        <v>30</v>
      </c>
      <c r="C101" s="0" t="s">
        <v>168</v>
      </c>
      <c r="D101" s="0" t="s">
        <v>1646</v>
      </c>
      <c r="E101" s="0" t="s">
        <v>1647</v>
      </c>
      <c r="F101" s="0">
        <v>400</v>
      </c>
      <c r="G101" s="0">
        <v>2</v>
      </c>
      <c r="H101" s="0" t="s">
        <v>1648</v>
      </c>
      <c r="I101" s="0" t="s">
        <v>1649</v>
      </c>
      <c r="J101" s="0" t="s">
        <v>114</v>
      </c>
      <c r="K101" s="0" t="s">
        <v>114</v>
      </c>
      <c r="L101" s="0" t="s">
        <v>114</v>
      </c>
      <c r="M101" s="0">
        <v>12</v>
      </c>
      <c r="N101" s="0">
        <v>38</v>
      </c>
      <c r="O101" s="0">
        <v>-513115</v>
      </c>
      <c r="P101" s="1">
        <f>=HYPERLINK("10.175.1.14\MWEB.12\ERR\EntityDetails.10.175.1.14.MWEB.12.HTTP Error C.-513115.xlsx", "&lt;Detail&gt;")</f>
      </c>
      <c r="Q101" s="1">
        <f>=HYPERLINK("10.175.1.14\MWEB.12\ERR\MetricGraphs.ERR.10.175.1.14.MWEB.12.xlsx", "&lt;Metrics&gt;")</f>
      </c>
      <c r="R101" s="0" t="s">
        <v>101</v>
      </c>
      <c r="S101" s="0" t="s">
        <v>145</v>
      </c>
      <c r="T101" s="0" t="s">
        <v>169</v>
      </c>
      <c r="U101" s="0" t="s">
        <v>114</v>
      </c>
    </row>
    <row r="102">
      <c r="A102" s="0" t="s">
        <v>28</v>
      </c>
      <c r="B102" s="0" t="s">
        <v>30</v>
      </c>
      <c r="C102" s="0" t="s">
        <v>168</v>
      </c>
      <c r="D102" s="0" t="s">
        <v>1652</v>
      </c>
      <c r="E102" s="0" t="s">
        <v>1647</v>
      </c>
      <c r="F102" s="0">
        <v>501</v>
      </c>
      <c r="G102" s="0">
        <v>2</v>
      </c>
      <c r="H102" s="0" t="s">
        <v>1648</v>
      </c>
      <c r="I102" s="0" t="s">
        <v>1653</v>
      </c>
      <c r="J102" s="0" t="s">
        <v>114</v>
      </c>
      <c r="K102" s="0" t="s">
        <v>114</v>
      </c>
      <c r="L102" s="0" t="s">
        <v>114</v>
      </c>
      <c r="M102" s="0">
        <v>12</v>
      </c>
      <c r="N102" s="0">
        <v>38</v>
      </c>
      <c r="O102" s="0">
        <v>-513169</v>
      </c>
      <c r="P102" s="1">
        <f>=HYPERLINK("10.175.1.14\MWEB.12\ERR\EntityDetails.10.175.1.14.MWEB.12.HTTP Error C.-513169.xlsx", "&lt;Detail&gt;")</f>
      </c>
      <c r="Q102" s="1">
        <f>=HYPERLINK("10.175.1.14\MWEB.12\ERR\MetricGraphs.ERR.10.175.1.14.MWEB.12.xlsx", "&lt;Metrics&gt;")</f>
      </c>
      <c r="R102" s="0" t="s">
        <v>101</v>
      </c>
      <c r="S102" s="0" t="s">
        <v>145</v>
      </c>
      <c r="T102" s="0" t="s">
        <v>169</v>
      </c>
      <c r="U102" s="0" t="s">
        <v>114</v>
      </c>
    </row>
    <row r="103">
      <c r="A103" s="0" t="s">
        <v>28</v>
      </c>
      <c r="B103" s="0" t="s">
        <v>30</v>
      </c>
      <c r="C103" s="0" t="s">
        <v>168</v>
      </c>
      <c r="D103" s="0" t="s">
        <v>1654</v>
      </c>
      <c r="E103" s="0" t="s">
        <v>1647</v>
      </c>
      <c r="F103" s="0">
        <v>503</v>
      </c>
      <c r="G103" s="0">
        <v>2</v>
      </c>
      <c r="H103" s="0" t="s">
        <v>1648</v>
      </c>
      <c r="I103" s="0" t="s">
        <v>1655</v>
      </c>
      <c r="J103" s="0" t="s">
        <v>114</v>
      </c>
      <c r="K103" s="0" t="s">
        <v>114</v>
      </c>
      <c r="L103" s="0" t="s">
        <v>114</v>
      </c>
      <c r="M103" s="0">
        <v>12</v>
      </c>
      <c r="N103" s="0">
        <v>38</v>
      </c>
      <c r="O103" s="0">
        <v>-360852</v>
      </c>
      <c r="P103" s="1">
        <f>=HYPERLINK("10.175.1.14\MWEB.12\ERR\EntityDetails.10.175.1.14.MWEB.12.HTTP Error C.-360852.xlsx", "&lt;Detail&gt;")</f>
      </c>
      <c r="Q103" s="1">
        <f>=HYPERLINK("10.175.1.14\MWEB.12\ERR\MetricGraphs.ERR.10.175.1.14.MWEB.12.xlsx", "&lt;Metrics&gt;")</f>
      </c>
      <c r="R103" s="0" t="s">
        <v>101</v>
      </c>
      <c r="S103" s="0" t="s">
        <v>145</v>
      </c>
      <c r="T103" s="0" t="s">
        <v>169</v>
      </c>
      <c r="U103" s="0" t="s">
        <v>114</v>
      </c>
    </row>
    <row r="104">
      <c r="A104" s="0" t="s">
        <v>28</v>
      </c>
      <c r="B104" s="0" t="s">
        <v>30</v>
      </c>
      <c r="C104" s="0" t="s">
        <v>168</v>
      </c>
      <c r="D104" s="0" t="s">
        <v>1656</v>
      </c>
      <c r="E104" s="0" t="s">
        <v>1647</v>
      </c>
      <c r="F104" s="0">
        <v>505</v>
      </c>
      <c r="G104" s="0">
        <v>2</v>
      </c>
      <c r="H104" s="0" t="s">
        <v>1648</v>
      </c>
      <c r="I104" s="0" t="s">
        <v>1657</v>
      </c>
      <c r="J104" s="0" t="s">
        <v>114</v>
      </c>
      <c r="K104" s="0" t="s">
        <v>114</v>
      </c>
      <c r="L104" s="0" t="s">
        <v>114</v>
      </c>
      <c r="M104" s="0">
        <v>12</v>
      </c>
      <c r="N104" s="0">
        <v>38</v>
      </c>
      <c r="O104" s="0">
        <v>-513113</v>
      </c>
      <c r="P104" s="1">
        <f>=HYPERLINK("10.175.1.14\MWEB.12\ERR\EntityDetails.10.175.1.14.MWEB.12.HTTP Error C.-513113.xlsx", "&lt;Detail&gt;")</f>
      </c>
      <c r="Q104" s="1">
        <f>=HYPERLINK("10.175.1.14\MWEB.12\ERR\MetricGraphs.ERR.10.175.1.14.MWEB.12.xlsx", "&lt;Metrics&gt;")</f>
      </c>
      <c r="R104" s="0" t="s">
        <v>101</v>
      </c>
      <c r="S104" s="0" t="s">
        <v>145</v>
      </c>
      <c r="T104" s="0" t="s">
        <v>169</v>
      </c>
      <c r="U104" s="0" t="s">
        <v>114</v>
      </c>
    </row>
    <row r="105">
      <c r="A105" s="0" t="s">
        <v>28</v>
      </c>
      <c r="B105" s="0" t="s">
        <v>30</v>
      </c>
      <c r="C105" s="0" t="s">
        <v>168</v>
      </c>
      <c r="D105" s="0" t="s">
        <v>1658</v>
      </c>
      <c r="E105" s="0" t="s">
        <v>1647</v>
      </c>
      <c r="F105" s="0">
        <v>500</v>
      </c>
      <c r="G105" s="0">
        <v>2</v>
      </c>
      <c r="H105" s="0" t="s">
        <v>1659</v>
      </c>
      <c r="I105" s="0" t="s">
        <v>1660</v>
      </c>
      <c r="J105" s="0" t="s">
        <v>114</v>
      </c>
      <c r="K105" s="0" t="s">
        <v>114</v>
      </c>
      <c r="L105" s="0" t="s">
        <v>114</v>
      </c>
      <c r="M105" s="0">
        <v>12</v>
      </c>
      <c r="N105" s="0">
        <v>38</v>
      </c>
      <c r="O105" s="0">
        <v>-367733</v>
      </c>
      <c r="P105" s="1">
        <f>=HYPERLINK("10.175.1.14\MWEB.12\ERR\EntityDetails.10.175.1.14.MWEB.12.Internal Ser.-367733.xlsx", "&lt;Detail&gt;")</f>
      </c>
      <c r="Q105" s="1">
        <f>=HYPERLINK("10.175.1.14\MWEB.12\ERR\MetricGraphs.ERR.10.175.1.14.MWEB.12.xlsx", "&lt;Metrics&gt;")</f>
      </c>
      <c r="R105" s="0" t="s">
        <v>101</v>
      </c>
      <c r="S105" s="0" t="s">
        <v>145</v>
      </c>
      <c r="T105" s="0" t="s">
        <v>169</v>
      </c>
      <c r="U105" s="0" t="s">
        <v>114</v>
      </c>
    </row>
    <row r="106">
      <c r="A106" s="0" t="s">
        <v>28</v>
      </c>
      <c r="B106" s="0" t="s">
        <v>30</v>
      </c>
      <c r="C106" s="0" t="s">
        <v>168</v>
      </c>
      <c r="D106" s="0" t="s">
        <v>1661</v>
      </c>
      <c r="E106" s="0" t="s">
        <v>1635</v>
      </c>
      <c r="F106" s="0">
        <v>0</v>
      </c>
      <c r="G106" s="0">
        <v>2</v>
      </c>
      <c r="H106" s="0" t="s">
        <v>1662</v>
      </c>
      <c r="I106" s="0" t="s">
        <v>114</v>
      </c>
      <c r="J106" s="0" t="s">
        <v>114</v>
      </c>
      <c r="K106" s="0" t="s">
        <v>114</v>
      </c>
      <c r="L106" s="0" t="s">
        <v>114</v>
      </c>
      <c r="M106" s="0">
        <v>12</v>
      </c>
      <c r="N106" s="0">
        <v>38</v>
      </c>
      <c r="O106" s="0">
        <v>-370780</v>
      </c>
      <c r="P106" s="1">
        <f>=HYPERLINK("10.175.1.14\MWEB.12\ERR\EntityDetails.10.175.1.14.MWEB.12.java.io.File.-370780.xlsx", "&lt;Detail&gt;")</f>
      </c>
      <c r="Q106" s="1">
        <f>=HYPERLINK("10.175.1.14\MWEB.12\ERR\MetricGraphs.ERR.10.175.1.14.MWEB.12.xlsx", "&lt;Metrics&gt;")</f>
      </c>
      <c r="R106" s="0" t="s">
        <v>101</v>
      </c>
      <c r="S106" s="0" t="s">
        <v>145</v>
      </c>
      <c r="T106" s="0" t="s">
        <v>169</v>
      </c>
      <c r="U106" s="0" t="s">
        <v>114</v>
      </c>
    </row>
    <row r="107">
      <c r="A107" s="0" t="s">
        <v>28</v>
      </c>
      <c r="B107" s="0" t="s">
        <v>30</v>
      </c>
      <c r="C107" s="0" t="s">
        <v>168</v>
      </c>
      <c r="D107" s="0" t="s">
        <v>1665</v>
      </c>
      <c r="E107" s="0" t="s">
        <v>1635</v>
      </c>
      <c r="F107" s="0">
        <v>0</v>
      </c>
      <c r="G107" s="0">
        <v>2</v>
      </c>
      <c r="H107" s="0" t="s">
        <v>1666</v>
      </c>
      <c r="I107" s="0" t="s">
        <v>114</v>
      </c>
      <c r="J107" s="0" t="s">
        <v>114</v>
      </c>
      <c r="K107" s="0" t="s">
        <v>114</v>
      </c>
      <c r="L107" s="0" t="s">
        <v>114</v>
      </c>
      <c r="M107" s="0">
        <v>12</v>
      </c>
      <c r="N107" s="0">
        <v>38</v>
      </c>
      <c r="O107" s="0">
        <v>-361747</v>
      </c>
      <c r="P107" s="1">
        <f>=HYPERLINK("10.175.1.14\MWEB.12\ERR\EntityDetails.10.175.1.14.MWEB.12.java.net.Con.-361747.xlsx", "&lt;Detail&gt;")</f>
      </c>
      <c r="Q107" s="1">
        <f>=HYPERLINK("10.175.1.14\MWEB.12\ERR\MetricGraphs.ERR.10.175.1.14.MWEB.12.xlsx", "&lt;Metrics&gt;")</f>
      </c>
      <c r="R107" s="0" t="s">
        <v>101</v>
      </c>
      <c r="S107" s="0" t="s">
        <v>145</v>
      </c>
      <c r="T107" s="0" t="s">
        <v>169</v>
      </c>
      <c r="U107" s="0" t="s">
        <v>114</v>
      </c>
    </row>
    <row r="108">
      <c r="A108" s="0" t="s">
        <v>28</v>
      </c>
      <c r="B108" s="0" t="s">
        <v>30</v>
      </c>
      <c r="C108" s="0" t="s">
        <v>168</v>
      </c>
      <c r="D108" s="0" t="s">
        <v>1670</v>
      </c>
      <c r="E108" s="0" t="s">
        <v>1635</v>
      </c>
      <c r="F108" s="0">
        <v>0</v>
      </c>
      <c r="G108" s="0">
        <v>2</v>
      </c>
      <c r="H108" s="0" t="s">
        <v>1671</v>
      </c>
      <c r="I108" s="0" t="s">
        <v>114</v>
      </c>
      <c r="J108" s="0" t="s">
        <v>114</v>
      </c>
      <c r="K108" s="0" t="s">
        <v>114</v>
      </c>
      <c r="L108" s="0" t="s">
        <v>114</v>
      </c>
      <c r="M108" s="0">
        <v>12</v>
      </c>
      <c r="N108" s="0">
        <v>38</v>
      </c>
      <c r="O108" s="0">
        <v>-390828</v>
      </c>
      <c r="P108" s="1">
        <f>=HYPERLINK("10.175.1.14\MWEB.12\ERR\EntityDetails.10.175.1.14.MWEB.12.java.sql.SQL.-390828.xlsx", "&lt;Detail&gt;")</f>
      </c>
      <c r="Q108" s="1">
        <f>=HYPERLINK("10.175.1.14\MWEB.12\ERR\MetricGraphs.ERR.10.175.1.14.MWEB.12.xlsx", "&lt;Metrics&gt;")</f>
      </c>
      <c r="R108" s="0" t="s">
        <v>101</v>
      </c>
      <c r="S108" s="0" t="s">
        <v>145</v>
      </c>
      <c r="T108" s="0" t="s">
        <v>169</v>
      </c>
      <c r="U108" s="0" t="s">
        <v>114</v>
      </c>
    </row>
    <row r="109">
      <c r="A109" s="0" t="s">
        <v>28</v>
      </c>
      <c r="B109" s="0" t="s">
        <v>30</v>
      </c>
      <c r="C109" s="0" t="s">
        <v>168</v>
      </c>
      <c r="D109" s="0" t="s">
        <v>1677</v>
      </c>
      <c r="E109" s="0" t="s">
        <v>1647</v>
      </c>
      <c r="F109" s="0">
        <v>404</v>
      </c>
      <c r="G109" s="0">
        <v>2</v>
      </c>
      <c r="H109" s="0" t="s">
        <v>1678</v>
      </c>
      <c r="I109" s="0" t="s">
        <v>1679</v>
      </c>
      <c r="J109" s="0" t="s">
        <v>114</v>
      </c>
      <c r="K109" s="0" t="s">
        <v>114</v>
      </c>
      <c r="L109" s="0" t="s">
        <v>114</v>
      </c>
      <c r="M109" s="0">
        <v>12</v>
      </c>
      <c r="N109" s="0">
        <v>38</v>
      </c>
      <c r="O109" s="0">
        <v>-271120</v>
      </c>
      <c r="P109" s="1">
        <f>=HYPERLINK("10.175.1.14\MWEB.12\ERR\EntityDetails.10.175.1.14.MWEB.12.Page Not Fou.-271120.xlsx", "&lt;Detail&gt;")</f>
      </c>
      <c r="Q109" s="1">
        <f>=HYPERLINK("10.175.1.14\MWEB.12\ERR\MetricGraphs.ERR.10.175.1.14.MWEB.12.xlsx", "&lt;Metrics&gt;")</f>
      </c>
      <c r="R109" s="0" t="s">
        <v>101</v>
      </c>
      <c r="S109" s="0" t="s">
        <v>145</v>
      </c>
      <c r="T109" s="0" t="s">
        <v>169</v>
      </c>
      <c r="U109" s="0" t="s">
        <v>114</v>
      </c>
    </row>
    <row r="110">
      <c r="A110" s="0" t="s">
        <v>28</v>
      </c>
      <c r="B110" s="0" t="s">
        <v>30</v>
      </c>
      <c r="C110" s="0" t="s">
        <v>168</v>
      </c>
      <c r="D110" s="0" t="s">
        <v>1713</v>
      </c>
      <c r="E110" s="0" t="s">
        <v>1635</v>
      </c>
      <c r="F110" s="0">
        <v>0</v>
      </c>
      <c r="G110" s="0">
        <v>4</v>
      </c>
      <c r="H110" s="0" t="s">
        <v>1714</v>
      </c>
      <c r="I110" s="0" t="s">
        <v>1714</v>
      </c>
      <c r="J110" s="0" t="s">
        <v>1715</v>
      </c>
      <c r="K110" s="0" t="s">
        <v>1716</v>
      </c>
      <c r="L110" s="0" t="s">
        <v>114</v>
      </c>
      <c r="M110" s="0">
        <v>12</v>
      </c>
      <c r="N110" s="0">
        <v>38</v>
      </c>
      <c r="O110" s="0">
        <v>-361761</v>
      </c>
      <c r="P110" s="1">
        <f>=HYPERLINK("10.175.1.14\MWEB.12\ERR\EntityDetails.10.175.1.14.MWEB.12.SSLHandshake.-361761.xlsx", "&lt;Detail&gt;")</f>
      </c>
      <c r="Q110" s="1">
        <f>=HYPERLINK("10.175.1.14\MWEB.12\ERR\MetricGraphs.ERR.10.175.1.14.MWEB.12.xlsx", "&lt;Metrics&gt;")</f>
      </c>
      <c r="R110" s="0" t="s">
        <v>101</v>
      </c>
      <c r="S110" s="0" t="s">
        <v>145</v>
      </c>
      <c r="T110" s="0" t="s">
        <v>169</v>
      </c>
      <c r="U110" s="0" t="s">
        <v>114</v>
      </c>
    </row>
    <row r="111">
      <c r="A111" s="0" t="s">
        <v>28</v>
      </c>
      <c r="B111" s="0" t="s">
        <v>30</v>
      </c>
      <c r="C111" s="0" t="s">
        <v>168</v>
      </c>
      <c r="D111" s="0" t="s">
        <v>1687</v>
      </c>
      <c r="E111" s="0" t="s">
        <v>1635</v>
      </c>
      <c r="F111" s="0">
        <v>0</v>
      </c>
      <c r="G111" s="0">
        <v>2</v>
      </c>
      <c r="H111" s="0" t="s">
        <v>1688</v>
      </c>
      <c r="I111" s="0" t="s">
        <v>114</v>
      </c>
      <c r="J111" s="0" t="s">
        <v>114</v>
      </c>
      <c r="K111" s="0" t="s">
        <v>114</v>
      </c>
      <c r="L111" s="0" t="s">
        <v>114</v>
      </c>
      <c r="M111" s="0">
        <v>12</v>
      </c>
      <c r="N111" s="0">
        <v>38</v>
      </c>
      <c r="O111" s="0">
        <v>-512429</v>
      </c>
      <c r="P111" s="1">
        <f>=HYPERLINK("10.175.1.14\MWEB.12\ERR\EntityDetails.10.175.1.14.MWEB.12.weblogic.jdb.-512429.xlsx", "&lt;Detail&gt;")</f>
      </c>
      <c r="Q111" s="1">
        <f>=HYPERLINK("10.175.1.14\MWEB.12\ERR\MetricGraphs.ERR.10.175.1.14.MWEB.12.xlsx", "&lt;Metrics&gt;")</f>
      </c>
      <c r="R111" s="0" t="s">
        <v>101</v>
      </c>
      <c r="S111" s="0" t="s">
        <v>145</v>
      </c>
      <c r="T111" s="0" t="s">
        <v>169</v>
      </c>
      <c r="U111" s="0" t="s">
        <v>114</v>
      </c>
    </row>
    <row r="112">
      <c r="A112" s="0" t="s">
        <v>28</v>
      </c>
      <c r="B112" s="0" t="s">
        <v>30</v>
      </c>
      <c r="C112" s="0" t="s">
        <v>170</v>
      </c>
      <c r="D112" s="0" t="s">
        <v>1675</v>
      </c>
      <c r="E112" s="0" t="s">
        <v>1675</v>
      </c>
      <c r="F112" s="0">
        <v>0</v>
      </c>
      <c r="G112" s="0">
        <v>1</v>
      </c>
      <c r="H112" s="0" t="s">
        <v>1675</v>
      </c>
      <c r="I112" s="0" t="s">
        <v>114</v>
      </c>
      <c r="J112" s="0" t="s">
        <v>114</v>
      </c>
      <c r="K112" s="0" t="s">
        <v>114</v>
      </c>
      <c r="L112" s="0" t="s">
        <v>114</v>
      </c>
      <c r="M112" s="0">
        <v>12</v>
      </c>
      <c r="N112" s="0">
        <v>35</v>
      </c>
      <c r="O112" s="0">
        <v>-364454</v>
      </c>
      <c r="P112" s="1">
        <f>=HYPERLINK("10.175.1.14\MWEB.12\ERR\EntityDetails.10.175.1.14.MWEB.12.Error.-364454.xlsx", "&lt;Detail&gt;")</f>
      </c>
      <c r="Q112" s="1">
        <f>=HYPERLINK("10.175.1.14\MWEB.12\ERR\MetricGraphs.ERR.10.175.1.14.MWEB.12.xlsx", "&lt;Metrics&gt;")</f>
      </c>
      <c r="R112" s="0" t="s">
        <v>101</v>
      </c>
      <c r="S112" s="0" t="s">
        <v>145</v>
      </c>
      <c r="T112" s="0" t="s">
        <v>173</v>
      </c>
      <c r="U112" s="0" t="s">
        <v>114</v>
      </c>
    </row>
    <row r="113">
      <c r="A113" s="0" t="s">
        <v>28</v>
      </c>
      <c r="B113" s="0" t="s">
        <v>30</v>
      </c>
      <c r="C113" s="0" t="s">
        <v>170</v>
      </c>
      <c r="D113" s="0" t="s">
        <v>1717</v>
      </c>
      <c r="E113" s="0" t="s">
        <v>1635</v>
      </c>
      <c r="F113" s="0">
        <v>0</v>
      </c>
      <c r="G113" s="0">
        <v>1</v>
      </c>
      <c r="H113" s="0" t="s">
        <v>1717</v>
      </c>
      <c r="I113" s="0" t="s">
        <v>114</v>
      </c>
      <c r="J113" s="0" t="s">
        <v>114</v>
      </c>
      <c r="K113" s="0" t="s">
        <v>114</v>
      </c>
      <c r="L113" s="0" t="s">
        <v>114</v>
      </c>
      <c r="M113" s="0">
        <v>12</v>
      </c>
      <c r="N113" s="0">
        <v>35</v>
      </c>
      <c r="O113" s="0">
        <v>-300941</v>
      </c>
      <c r="P113" s="1">
        <f>=HYPERLINK("10.175.1.14\MWEB.12\ERR\EntityDetails.10.175.1.14.MWEB.12.MSM_Exceptio.-300941.xlsx", "&lt;Detail&gt;")</f>
      </c>
      <c r="Q113" s="1">
        <f>=HYPERLINK("10.175.1.14\MWEB.12\ERR\MetricGraphs.ERR.10.175.1.14.MWEB.12.xlsx", "&lt;Metrics&gt;")</f>
      </c>
      <c r="R113" s="0" t="s">
        <v>101</v>
      </c>
      <c r="S113" s="0" t="s">
        <v>145</v>
      </c>
      <c r="T113" s="0" t="s">
        <v>173</v>
      </c>
      <c r="U113" s="0" t="s">
        <v>114</v>
      </c>
    </row>
    <row r="114">
      <c r="A114" s="0" t="s">
        <v>28</v>
      </c>
      <c r="B114" s="0" t="s">
        <v>30</v>
      </c>
      <c r="C114" s="0" t="s">
        <v>170</v>
      </c>
      <c r="D114" s="0" t="s">
        <v>1718</v>
      </c>
      <c r="E114" s="0" t="s">
        <v>1675</v>
      </c>
      <c r="F114" s="0">
        <v>0</v>
      </c>
      <c r="G114" s="0">
        <v>1</v>
      </c>
      <c r="H114" s="0" t="s">
        <v>1718</v>
      </c>
      <c r="I114" s="0" t="s">
        <v>114</v>
      </c>
      <c r="J114" s="0" t="s">
        <v>114</v>
      </c>
      <c r="K114" s="0" t="s">
        <v>114</v>
      </c>
      <c r="L114" s="0" t="s">
        <v>114</v>
      </c>
      <c r="M114" s="0">
        <v>12</v>
      </c>
      <c r="N114" s="0">
        <v>35</v>
      </c>
      <c r="O114" s="0">
        <v>-365126</v>
      </c>
      <c r="P114" s="1">
        <f>=HYPERLINK("10.175.1.14\MWEB.12\ERR\EntityDetails.10.175.1.14.MWEB.12.ParseError.-365126.xlsx", "&lt;Detail&gt;")</f>
      </c>
      <c r="Q114" s="1">
        <f>=HYPERLINK("10.175.1.14\MWEB.12\ERR\MetricGraphs.ERR.10.175.1.14.MWEB.12.xlsx", "&lt;Metrics&gt;")</f>
      </c>
      <c r="R114" s="0" t="s">
        <v>101</v>
      </c>
      <c r="S114" s="0" t="s">
        <v>145</v>
      </c>
      <c r="T114" s="0" t="s">
        <v>173</v>
      </c>
      <c r="U114" s="0" t="s">
        <v>114</v>
      </c>
    </row>
    <row r="115">
      <c r="A115" s="0" t="s">
        <v>28</v>
      </c>
      <c r="B115" s="0" t="s">
        <v>30</v>
      </c>
      <c r="C115" s="0" t="s">
        <v>170</v>
      </c>
      <c r="D115" s="0" t="s">
        <v>1719</v>
      </c>
      <c r="E115" s="0" t="s">
        <v>1635</v>
      </c>
      <c r="F115" s="0">
        <v>0</v>
      </c>
      <c r="G115" s="0">
        <v>1</v>
      </c>
      <c r="H115" s="0" t="s">
        <v>1719</v>
      </c>
      <c r="I115" s="0" t="s">
        <v>114</v>
      </c>
      <c r="J115" s="0" t="s">
        <v>114</v>
      </c>
      <c r="K115" s="0" t="s">
        <v>114</v>
      </c>
      <c r="L115" s="0" t="s">
        <v>114</v>
      </c>
      <c r="M115" s="0">
        <v>12</v>
      </c>
      <c r="N115" s="0">
        <v>35</v>
      </c>
      <c r="O115" s="0">
        <v>-364574</v>
      </c>
      <c r="P115" s="1">
        <f>=HYPERLINK("10.175.1.14\MWEB.12\ERR\EntityDetails.10.175.1.14.MWEB.12.PDOException.-364574.xlsx", "&lt;Detail&gt;")</f>
      </c>
      <c r="Q115" s="1">
        <f>=HYPERLINK("10.175.1.14\MWEB.12\ERR\MetricGraphs.ERR.10.175.1.14.MWEB.12.xlsx", "&lt;Metrics&gt;")</f>
      </c>
      <c r="R115" s="0" t="s">
        <v>101</v>
      </c>
      <c r="S115" s="0" t="s">
        <v>145</v>
      </c>
      <c r="T115" s="0" t="s">
        <v>173</v>
      </c>
      <c r="U115" s="0" t="s">
        <v>114</v>
      </c>
    </row>
    <row r="116">
      <c r="A116" s="0" t="s">
        <v>28</v>
      </c>
      <c r="B116" s="0" t="s">
        <v>30</v>
      </c>
      <c r="C116" s="0" t="s">
        <v>170</v>
      </c>
      <c r="D116" s="0" t="s">
        <v>1720</v>
      </c>
      <c r="E116" s="0" t="s">
        <v>1675</v>
      </c>
      <c r="F116" s="0">
        <v>0</v>
      </c>
      <c r="G116" s="0">
        <v>1</v>
      </c>
      <c r="H116" s="0" t="s">
        <v>1720</v>
      </c>
      <c r="I116" s="0" t="s">
        <v>114</v>
      </c>
      <c r="J116" s="0" t="s">
        <v>114</v>
      </c>
      <c r="K116" s="0" t="s">
        <v>114</v>
      </c>
      <c r="L116" s="0" t="s">
        <v>114</v>
      </c>
      <c r="M116" s="0">
        <v>12</v>
      </c>
      <c r="N116" s="0">
        <v>35</v>
      </c>
      <c r="O116" s="0">
        <v>-366335</v>
      </c>
      <c r="P116" s="1">
        <f>=HYPERLINK("10.175.1.14\MWEB.12\ERR\EntityDetails.10.175.1.14.MWEB.12.PHP Errors.-366335.xlsx", "&lt;Detail&gt;")</f>
      </c>
      <c r="Q116" s="1">
        <f>=HYPERLINK("10.175.1.14\MWEB.12\ERR\MetricGraphs.ERR.10.175.1.14.MWEB.12.xlsx", "&lt;Metrics&gt;")</f>
      </c>
      <c r="R116" s="0" t="s">
        <v>101</v>
      </c>
      <c r="S116" s="0" t="s">
        <v>145</v>
      </c>
      <c r="T116" s="0" t="s">
        <v>173</v>
      </c>
      <c r="U116" s="0" t="s">
        <v>114</v>
      </c>
    </row>
    <row r="117">
      <c r="A117" s="0" t="s">
        <v>28</v>
      </c>
      <c r="B117" s="0" t="s">
        <v>30</v>
      </c>
      <c r="C117" s="0" t="s">
        <v>174</v>
      </c>
      <c r="D117" s="0" t="s">
        <v>1721</v>
      </c>
      <c r="E117" s="0" t="s">
        <v>1635</v>
      </c>
      <c r="F117" s="0">
        <v>0</v>
      </c>
      <c r="G117" s="0">
        <v>2</v>
      </c>
      <c r="H117" s="0" t="s">
        <v>1722</v>
      </c>
      <c r="I117" s="0" t="s">
        <v>1703</v>
      </c>
      <c r="J117" s="0" t="s">
        <v>114</v>
      </c>
      <c r="K117" s="0" t="s">
        <v>114</v>
      </c>
      <c r="L117" s="0" t="s">
        <v>114</v>
      </c>
      <c r="M117" s="0">
        <v>12</v>
      </c>
      <c r="N117" s="0">
        <v>43</v>
      </c>
      <c r="O117" s="0">
        <v>-510349</v>
      </c>
      <c r="P117" s="1">
        <f>=HYPERLINK("10.175.1.14\MWEB.12\ERR\EntityDetails.10.175.1.14.MWEB.12.BatchUpdateE.-510349.xlsx", "&lt;Detail&gt;")</f>
      </c>
      <c r="Q117" s="1">
        <f>=HYPERLINK("10.175.1.14\MWEB.12\ERR\MetricGraphs.ERR.10.175.1.14.MWEB.12.xlsx", "&lt;Metrics&gt;")</f>
      </c>
      <c r="R117" s="0" t="s">
        <v>101</v>
      </c>
      <c r="S117" s="0" t="s">
        <v>145</v>
      </c>
      <c r="T117" s="0" t="s">
        <v>175</v>
      </c>
      <c r="U117" s="0" t="s">
        <v>114</v>
      </c>
    </row>
    <row r="118">
      <c r="A118" s="0" t="s">
        <v>28</v>
      </c>
      <c r="B118" s="0" t="s">
        <v>30</v>
      </c>
      <c r="C118" s="0" t="s">
        <v>174</v>
      </c>
      <c r="D118" s="0" t="s">
        <v>1636</v>
      </c>
      <c r="E118" s="0" t="s">
        <v>1635</v>
      </c>
      <c r="F118" s="0">
        <v>0</v>
      </c>
      <c r="G118" s="0">
        <v>4</v>
      </c>
      <c r="H118" s="0" t="s">
        <v>1637</v>
      </c>
      <c r="I118" s="0" t="s">
        <v>1638</v>
      </c>
      <c r="J118" s="0" t="s">
        <v>1639</v>
      </c>
      <c r="K118" s="0" t="s">
        <v>114</v>
      </c>
      <c r="L118" s="0" t="s">
        <v>114</v>
      </c>
      <c r="M118" s="0">
        <v>12</v>
      </c>
      <c r="N118" s="0">
        <v>43</v>
      </c>
      <c r="O118" s="0">
        <v>-511444</v>
      </c>
      <c r="P118" s="1">
        <f>=HYPERLINK("10.175.1.14\MWEB.12\ERR\EntityDetails.10.175.1.14.MWEB.12.com.mysql.cj.-511444.xlsx", "&lt;Detail&gt;")</f>
      </c>
      <c r="Q118" s="1">
        <f>=HYPERLINK("10.175.1.14\MWEB.12\ERR\MetricGraphs.ERR.10.175.1.14.MWEB.12.xlsx", "&lt;Metrics&gt;")</f>
      </c>
      <c r="R118" s="0" t="s">
        <v>101</v>
      </c>
      <c r="S118" s="0" t="s">
        <v>145</v>
      </c>
      <c r="T118" s="0" t="s">
        <v>175</v>
      </c>
      <c r="U118" s="0" t="s">
        <v>114</v>
      </c>
    </row>
    <row r="119">
      <c r="A119" s="0" t="s">
        <v>28</v>
      </c>
      <c r="B119" s="0" t="s">
        <v>30</v>
      </c>
      <c r="C119" s="0" t="s">
        <v>174</v>
      </c>
      <c r="D119" s="0" t="s">
        <v>1640</v>
      </c>
      <c r="E119" s="0" t="s">
        <v>1635</v>
      </c>
      <c r="F119" s="0">
        <v>0</v>
      </c>
      <c r="G119" s="0">
        <v>4</v>
      </c>
      <c r="H119" s="0" t="s">
        <v>1637</v>
      </c>
      <c r="I119" s="0" t="s">
        <v>1638</v>
      </c>
      <c r="J119" s="0" t="s">
        <v>1641</v>
      </c>
      <c r="K119" s="0" t="s">
        <v>114</v>
      </c>
      <c r="L119" s="0" t="s">
        <v>114</v>
      </c>
      <c r="M119" s="0">
        <v>12</v>
      </c>
      <c r="N119" s="0">
        <v>43</v>
      </c>
      <c r="O119" s="0">
        <v>-512544</v>
      </c>
      <c r="P119" s="1">
        <f>=HYPERLINK("10.175.1.14\MWEB.12\ERR\EntityDetails.10.175.1.14.MWEB.12.com.mysql.cj.-512544.xlsx", "&lt;Detail&gt;")</f>
      </c>
      <c r="Q119" s="1">
        <f>=HYPERLINK("10.175.1.14\MWEB.12\ERR\MetricGraphs.ERR.10.175.1.14.MWEB.12.xlsx", "&lt;Metrics&gt;")</f>
      </c>
      <c r="R119" s="0" t="s">
        <v>101</v>
      </c>
      <c r="S119" s="0" t="s">
        <v>145</v>
      </c>
      <c r="T119" s="0" t="s">
        <v>175</v>
      </c>
      <c r="U119" s="0" t="s">
        <v>114</v>
      </c>
    </row>
    <row r="120">
      <c r="A120" s="0" t="s">
        <v>28</v>
      </c>
      <c r="B120" s="0" t="s">
        <v>30</v>
      </c>
      <c r="C120" s="0" t="s">
        <v>174</v>
      </c>
      <c r="D120" s="0" t="s">
        <v>1723</v>
      </c>
      <c r="E120" s="0" t="s">
        <v>1635</v>
      </c>
      <c r="F120" s="0">
        <v>0</v>
      </c>
      <c r="G120" s="0">
        <v>4</v>
      </c>
      <c r="H120" s="0" t="s">
        <v>1693</v>
      </c>
      <c r="I120" s="0" t="s">
        <v>1694</v>
      </c>
      <c r="J120" s="0" t="s">
        <v>1724</v>
      </c>
      <c r="K120" s="0" t="s">
        <v>1697</v>
      </c>
      <c r="L120" s="0" t="s">
        <v>114</v>
      </c>
      <c r="M120" s="0">
        <v>12</v>
      </c>
      <c r="N120" s="0">
        <v>43</v>
      </c>
      <c r="O120" s="0">
        <v>-511422</v>
      </c>
      <c r="P120" s="1">
        <f>=HYPERLINK("10.175.1.14\MWEB.12\ERR\EntityDetails.10.175.1.14.MWEB.12.Communicatio.-511422.xlsx", "&lt;Detail&gt;")</f>
      </c>
      <c r="Q120" s="1">
        <f>=HYPERLINK("10.175.1.14\MWEB.12\ERR\MetricGraphs.ERR.10.175.1.14.MWEB.12.xlsx", "&lt;Metrics&gt;")</f>
      </c>
      <c r="R120" s="0" t="s">
        <v>101</v>
      </c>
      <c r="S120" s="0" t="s">
        <v>145</v>
      </c>
      <c r="T120" s="0" t="s">
        <v>175</v>
      </c>
      <c r="U120" s="0" t="s">
        <v>114</v>
      </c>
    </row>
    <row r="121">
      <c r="A121" s="0" t="s">
        <v>28</v>
      </c>
      <c r="B121" s="0" t="s">
        <v>30</v>
      </c>
      <c r="C121" s="0" t="s">
        <v>174</v>
      </c>
      <c r="D121" s="0" t="s">
        <v>1725</v>
      </c>
      <c r="E121" s="0" t="s">
        <v>1635</v>
      </c>
      <c r="F121" s="0">
        <v>0</v>
      </c>
      <c r="G121" s="0">
        <v>1</v>
      </c>
      <c r="H121" s="0" t="s">
        <v>1725</v>
      </c>
      <c r="I121" s="0" t="s">
        <v>114</v>
      </c>
      <c r="J121" s="0" t="s">
        <v>114</v>
      </c>
      <c r="K121" s="0" t="s">
        <v>114</v>
      </c>
      <c r="L121" s="0" t="s">
        <v>114</v>
      </c>
      <c r="M121" s="0">
        <v>12</v>
      </c>
      <c r="N121" s="0">
        <v>43</v>
      </c>
      <c r="O121" s="0">
        <v>-511420</v>
      </c>
      <c r="P121" s="1">
        <f>=HYPERLINK("10.175.1.14\MWEB.12\ERR\EntityDetails.10.175.1.14.MWEB.12.ConnectionDe.-511420.xlsx", "&lt;Detail&gt;")</f>
      </c>
      <c r="Q121" s="1">
        <f>=HYPERLINK("10.175.1.14\MWEB.12\ERR\MetricGraphs.ERR.10.175.1.14.MWEB.12.xlsx", "&lt;Metrics&gt;")</f>
      </c>
      <c r="R121" s="0" t="s">
        <v>101</v>
      </c>
      <c r="S121" s="0" t="s">
        <v>145</v>
      </c>
      <c r="T121" s="0" t="s">
        <v>175</v>
      </c>
      <c r="U121" s="0" t="s">
        <v>114</v>
      </c>
    </row>
    <row r="122">
      <c r="A122" s="0" t="s">
        <v>28</v>
      </c>
      <c r="B122" s="0" t="s">
        <v>30</v>
      </c>
      <c r="C122" s="0" t="s">
        <v>174</v>
      </c>
      <c r="D122" s="0" t="s">
        <v>1646</v>
      </c>
      <c r="E122" s="0" t="s">
        <v>1647</v>
      </c>
      <c r="F122" s="0">
        <v>400</v>
      </c>
      <c r="G122" s="0">
        <v>2</v>
      </c>
      <c r="H122" s="0" t="s">
        <v>1648</v>
      </c>
      <c r="I122" s="0" t="s">
        <v>1649</v>
      </c>
      <c r="J122" s="0" t="s">
        <v>114</v>
      </c>
      <c r="K122" s="0" t="s">
        <v>114</v>
      </c>
      <c r="L122" s="0" t="s">
        <v>114</v>
      </c>
      <c r="M122" s="0">
        <v>12</v>
      </c>
      <c r="N122" s="0">
        <v>43</v>
      </c>
      <c r="O122" s="0">
        <v>-513165</v>
      </c>
      <c r="P122" s="1">
        <f>=HYPERLINK("10.175.1.14\MWEB.12\ERR\EntityDetails.10.175.1.14.MWEB.12.HTTP Error C.-513165.xlsx", "&lt;Detail&gt;")</f>
      </c>
      <c r="Q122" s="1">
        <f>=HYPERLINK("10.175.1.14\MWEB.12\ERR\MetricGraphs.ERR.10.175.1.14.MWEB.12.xlsx", "&lt;Metrics&gt;")</f>
      </c>
      <c r="R122" s="0" t="s">
        <v>101</v>
      </c>
      <c r="S122" s="0" t="s">
        <v>145</v>
      </c>
      <c r="T122" s="0" t="s">
        <v>175</v>
      </c>
      <c r="U122" s="0" t="s">
        <v>114</v>
      </c>
    </row>
    <row r="123">
      <c r="A123" s="0" t="s">
        <v>28</v>
      </c>
      <c r="B123" s="0" t="s">
        <v>30</v>
      </c>
      <c r="C123" s="0" t="s">
        <v>174</v>
      </c>
      <c r="D123" s="0" t="s">
        <v>1652</v>
      </c>
      <c r="E123" s="0" t="s">
        <v>1647</v>
      </c>
      <c r="F123" s="0">
        <v>501</v>
      </c>
      <c r="G123" s="0">
        <v>2</v>
      </c>
      <c r="H123" s="0" t="s">
        <v>1648</v>
      </c>
      <c r="I123" s="0" t="s">
        <v>1653</v>
      </c>
      <c r="J123" s="0" t="s">
        <v>114</v>
      </c>
      <c r="K123" s="0" t="s">
        <v>114</v>
      </c>
      <c r="L123" s="0" t="s">
        <v>114</v>
      </c>
      <c r="M123" s="0">
        <v>12</v>
      </c>
      <c r="N123" s="0">
        <v>43</v>
      </c>
      <c r="O123" s="0">
        <v>-513167</v>
      </c>
      <c r="P123" s="1">
        <f>=HYPERLINK("10.175.1.14\MWEB.12\ERR\EntityDetails.10.175.1.14.MWEB.12.HTTP Error C.-513167.xlsx", "&lt;Detail&gt;")</f>
      </c>
      <c r="Q123" s="1">
        <f>=HYPERLINK("10.175.1.14\MWEB.12\ERR\MetricGraphs.ERR.10.175.1.14.MWEB.12.xlsx", "&lt;Metrics&gt;")</f>
      </c>
      <c r="R123" s="0" t="s">
        <v>101</v>
      </c>
      <c r="S123" s="0" t="s">
        <v>145</v>
      </c>
      <c r="T123" s="0" t="s">
        <v>175</v>
      </c>
      <c r="U123" s="0" t="s">
        <v>114</v>
      </c>
    </row>
    <row r="124">
      <c r="A124" s="0" t="s">
        <v>28</v>
      </c>
      <c r="B124" s="0" t="s">
        <v>30</v>
      </c>
      <c r="C124" s="0" t="s">
        <v>174</v>
      </c>
      <c r="D124" s="0" t="s">
        <v>1654</v>
      </c>
      <c r="E124" s="0" t="s">
        <v>1647</v>
      </c>
      <c r="F124" s="0">
        <v>503</v>
      </c>
      <c r="G124" s="0">
        <v>2</v>
      </c>
      <c r="H124" s="0" t="s">
        <v>1648</v>
      </c>
      <c r="I124" s="0" t="s">
        <v>1655</v>
      </c>
      <c r="J124" s="0" t="s">
        <v>114</v>
      </c>
      <c r="K124" s="0" t="s">
        <v>114</v>
      </c>
      <c r="L124" s="0" t="s">
        <v>114</v>
      </c>
      <c r="M124" s="0">
        <v>12</v>
      </c>
      <c r="N124" s="0">
        <v>43</v>
      </c>
      <c r="O124" s="0">
        <v>-370222</v>
      </c>
      <c r="P124" s="1">
        <f>=HYPERLINK("10.175.1.14\MWEB.12\ERR\EntityDetails.10.175.1.14.MWEB.12.HTTP Error C.-370222.xlsx", "&lt;Detail&gt;")</f>
      </c>
      <c r="Q124" s="1">
        <f>=HYPERLINK("10.175.1.14\MWEB.12\ERR\MetricGraphs.ERR.10.175.1.14.MWEB.12.xlsx", "&lt;Metrics&gt;")</f>
      </c>
      <c r="R124" s="0" t="s">
        <v>101</v>
      </c>
      <c r="S124" s="0" t="s">
        <v>145</v>
      </c>
      <c r="T124" s="0" t="s">
        <v>175</v>
      </c>
      <c r="U124" s="0" t="s">
        <v>114</v>
      </c>
    </row>
    <row r="125">
      <c r="A125" s="0" t="s">
        <v>28</v>
      </c>
      <c r="B125" s="0" t="s">
        <v>30</v>
      </c>
      <c r="C125" s="0" t="s">
        <v>174</v>
      </c>
      <c r="D125" s="0" t="s">
        <v>1656</v>
      </c>
      <c r="E125" s="0" t="s">
        <v>1647</v>
      </c>
      <c r="F125" s="0">
        <v>505</v>
      </c>
      <c r="G125" s="0">
        <v>2</v>
      </c>
      <c r="H125" s="0" t="s">
        <v>1648</v>
      </c>
      <c r="I125" s="0" t="s">
        <v>1657</v>
      </c>
      <c r="J125" s="0" t="s">
        <v>114</v>
      </c>
      <c r="K125" s="0" t="s">
        <v>114</v>
      </c>
      <c r="L125" s="0" t="s">
        <v>114</v>
      </c>
      <c r="M125" s="0">
        <v>12</v>
      </c>
      <c r="N125" s="0">
        <v>43</v>
      </c>
      <c r="O125" s="0">
        <v>-513163</v>
      </c>
      <c r="P125" s="1">
        <f>=HYPERLINK("10.175.1.14\MWEB.12\ERR\EntityDetails.10.175.1.14.MWEB.12.HTTP Error C.-513163.xlsx", "&lt;Detail&gt;")</f>
      </c>
      <c r="Q125" s="1">
        <f>=HYPERLINK("10.175.1.14\MWEB.12\ERR\MetricGraphs.ERR.10.175.1.14.MWEB.12.xlsx", "&lt;Metrics&gt;")</f>
      </c>
      <c r="R125" s="0" t="s">
        <v>101</v>
      </c>
      <c r="S125" s="0" t="s">
        <v>145</v>
      </c>
      <c r="T125" s="0" t="s">
        <v>175</v>
      </c>
      <c r="U125" s="0" t="s">
        <v>114</v>
      </c>
    </row>
    <row r="126">
      <c r="A126" s="0" t="s">
        <v>28</v>
      </c>
      <c r="B126" s="0" t="s">
        <v>30</v>
      </c>
      <c r="C126" s="0" t="s">
        <v>174</v>
      </c>
      <c r="D126" s="0" t="s">
        <v>1658</v>
      </c>
      <c r="E126" s="0" t="s">
        <v>1647</v>
      </c>
      <c r="F126" s="0">
        <v>500</v>
      </c>
      <c r="G126" s="0">
        <v>2</v>
      </c>
      <c r="H126" s="0" t="s">
        <v>1659</v>
      </c>
      <c r="I126" s="0" t="s">
        <v>1660</v>
      </c>
      <c r="J126" s="0" t="s">
        <v>114</v>
      </c>
      <c r="K126" s="0" t="s">
        <v>114</v>
      </c>
      <c r="L126" s="0" t="s">
        <v>114</v>
      </c>
      <c r="M126" s="0">
        <v>12</v>
      </c>
      <c r="N126" s="0">
        <v>43</v>
      </c>
      <c r="O126" s="0">
        <v>-300338</v>
      </c>
      <c r="P126" s="1">
        <f>=HYPERLINK("10.175.1.14\MWEB.12\ERR\EntityDetails.10.175.1.14.MWEB.12.Internal Ser.-300338.xlsx", "&lt;Detail&gt;")</f>
      </c>
      <c r="Q126" s="1">
        <f>=HYPERLINK("10.175.1.14\MWEB.12\ERR\MetricGraphs.ERR.10.175.1.14.MWEB.12.xlsx", "&lt;Metrics&gt;")</f>
      </c>
      <c r="R126" s="0" t="s">
        <v>101</v>
      </c>
      <c r="S126" s="0" t="s">
        <v>145</v>
      </c>
      <c r="T126" s="0" t="s">
        <v>175</v>
      </c>
      <c r="U126" s="0" t="s">
        <v>114</v>
      </c>
    </row>
    <row r="127">
      <c r="A127" s="0" t="s">
        <v>28</v>
      </c>
      <c r="B127" s="0" t="s">
        <v>30</v>
      </c>
      <c r="C127" s="0" t="s">
        <v>174</v>
      </c>
      <c r="D127" s="0" t="s">
        <v>1726</v>
      </c>
      <c r="E127" s="0" t="s">
        <v>1635</v>
      </c>
      <c r="F127" s="0">
        <v>0</v>
      </c>
      <c r="G127" s="0">
        <v>2</v>
      </c>
      <c r="H127" s="0" t="s">
        <v>1727</v>
      </c>
      <c r="I127" s="0" t="s">
        <v>114</v>
      </c>
      <c r="J127" s="0" t="s">
        <v>114</v>
      </c>
      <c r="K127" s="0" t="s">
        <v>114</v>
      </c>
      <c r="L127" s="0" t="s">
        <v>114</v>
      </c>
      <c r="M127" s="0">
        <v>12</v>
      </c>
      <c r="N127" s="0">
        <v>43</v>
      </c>
      <c r="O127" s="0">
        <v>-513399</v>
      </c>
      <c r="P127" s="1">
        <f>=HYPERLINK("10.175.1.14\MWEB.12\ERR\EntityDetails.10.175.1.14.MWEB.12.java.sql.SQL.-513399.xlsx", "&lt;Detail&gt;")</f>
      </c>
      <c r="Q127" s="1">
        <f>=HYPERLINK("10.175.1.14\MWEB.12\ERR\MetricGraphs.ERR.10.175.1.14.MWEB.12.xlsx", "&lt;Metrics&gt;")</f>
      </c>
      <c r="R127" s="0" t="s">
        <v>101</v>
      </c>
      <c r="S127" s="0" t="s">
        <v>145</v>
      </c>
      <c r="T127" s="0" t="s">
        <v>175</v>
      </c>
      <c r="U127" s="0" t="s">
        <v>114</v>
      </c>
    </row>
    <row r="128">
      <c r="A128" s="0" t="s">
        <v>28</v>
      </c>
      <c r="B128" s="0" t="s">
        <v>30</v>
      </c>
      <c r="C128" s="0" t="s">
        <v>174</v>
      </c>
      <c r="D128" s="0" t="s">
        <v>1728</v>
      </c>
      <c r="E128" s="0" t="s">
        <v>1635</v>
      </c>
      <c r="F128" s="0">
        <v>0</v>
      </c>
      <c r="G128" s="0">
        <v>2</v>
      </c>
      <c r="H128" s="0" t="s">
        <v>1729</v>
      </c>
      <c r="I128" s="0" t="s">
        <v>114</v>
      </c>
      <c r="J128" s="0" t="s">
        <v>114</v>
      </c>
      <c r="K128" s="0" t="s">
        <v>114</v>
      </c>
      <c r="L128" s="0" t="s">
        <v>114</v>
      </c>
      <c r="M128" s="0">
        <v>12</v>
      </c>
      <c r="N128" s="0">
        <v>43</v>
      </c>
      <c r="O128" s="0">
        <v>-368051</v>
      </c>
      <c r="P128" s="1">
        <f>=HYPERLINK("10.175.1.14\MWEB.12\ERR\EntityDetails.10.175.1.14.MWEB.12.java.sql.SQL.-368051.xlsx", "&lt;Detail&gt;")</f>
      </c>
      <c r="Q128" s="1">
        <f>=HYPERLINK("10.175.1.14\MWEB.12\ERR\MetricGraphs.ERR.10.175.1.14.MWEB.12.xlsx", "&lt;Metrics&gt;")</f>
      </c>
      <c r="R128" s="0" t="s">
        <v>101</v>
      </c>
      <c r="S128" s="0" t="s">
        <v>145</v>
      </c>
      <c r="T128" s="0" t="s">
        <v>175</v>
      </c>
      <c r="U128" s="0" t="s">
        <v>114</v>
      </c>
    </row>
    <row r="129">
      <c r="A129" s="0" t="s">
        <v>28</v>
      </c>
      <c r="B129" s="0" t="s">
        <v>30</v>
      </c>
      <c r="C129" s="0" t="s">
        <v>174</v>
      </c>
      <c r="D129" s="0" t="s">
        <v>1672</v>
      </c>
      <c r="E129" s="0" t="s">
        <v>1635</v>
      </c>
      <c r="F129" s="0">
        <v>0</v>
      </c>
      <c r="G129" s="0">
        <v>2</v>
      </c>
      <c r="H129" s="0" t="s">
        <v>1673</v>
      </c>
      <c r="I129" s="0" t="s">
        <v>114</v>
      </c>
      <c r="J129" s="0" t="s">
        <v>114</v>
      </c>
      <c r="K129" s="0" t="s">
        <v>114</v>
      </c>
      <c r="L129" s="0" t="s">
        <v>114</v>
      </c>
      <c r="M129" s="0">
        <v>12</v>
      </c>
      <c r="N129" s="0">
        <v>43</v>
      </c>
      <c r="O129" s="0">
        <v>-362111</v>
      </c>
      <c r="P129" s="1">
        <f>=HYPERLINK("10.175.1.14\MWEB.12\ERR\EntityDetails.10.175.1.14.MWEB.12.java.sql.SQL.-362111.xlsx", "&lt;Detail&gt;")</f>
      </c>
      <c r="Q129" s="1">
        <f>=HYPERLINK("10.175.1.14\MWEB.12\ERR\MetricGraphs.ERR.10.175.1.14.MWEB.12.xlsx", "&lt;Metrics&gt;")</f>
      </c>
      <c r="R129" s="0" t="s">
        <v>101</v>
      </c>
      <c r="S129" s="0" t="s">
        <v>145</v>
      </c>
      <c r="T129" s="0" t="s">
        <v>175</v>
      </c>
      <c r="U129" s="0" t="s">
        <v>114</v>
      </c>
    </row>
    <row r="130">
      <c r="A130" s="0" t="s">
        <v>28</v>
      </c>
      <c r="B130" s="0" t="s">
        <v>30</v>
      </c>
      <c r="C130" s="0" t="s">
        <v>174</v>
      </c>
      <c r="D130" s="0" t="s">
        <v>1730</v>
      </c>
      <c r="E130" s="0" t="s">
        <v>1635</v>
      </c>
      <c r="F130" s="0">
        <v>0</v>
      </c>
      <c r="G130" s="0">
        <v>6</v>
      </c>
      <c r="H130" s="0" t="s">
        <v>1731</v>
      </c>
      <c r="I130" s="0" t="s">
        <v>1731</v>
      </c>
      <c r="J130" s="0" t="s">
        <v>1731</v>
      </c>
      <c r="K130" s="0" t="s">
        <v>1731</v>
      </c>
      <c r="L130" s="0" t="s">
        <v>1731</v>
      </c>
      <c r="M130" s="0">
        <v>12</v>
      </c>
      <c r="N130" s="0">
        <v>43</v>
      </c>
      <c r="O130" s="0">
        <v>-512270</v>
      </c>
      <c r="P130" s="1">
        <f>=HYPERLINK("10.175.1.14\MWEB.12\ERR\EntityDetails.10.175.1.14.MWEB.12.JMSException.-512270.xlsx", "&lt;Detail&gt;")</f>
      </c>
      <c r="Q130" s="1">
        <f>=HYPERLINK("10.175.1.14\MWEB.12\ERR\MetricGraphs.ERR.10.175.1.14.MWEB.12.xlsx", "&lt;Metrics&gt;")</f>
      </c>
      <c r="R130" s="0" t="s">
        <v>101</v>
      </c>
      <c r="S130" s="0" t="s">
        <v>145</v>
      </c>
      <c r="T130" s="0" t="s">
        <v>175</v>
      </c>
      <c r="U130" s="0" t="s">
        <v>114</v>
      </c>
    </row>
    <row r="131">
      <c r="A131" s="0" t="s">
        <v>28</v>
      </c>
      <c r="B131" s="0" t="s">
        <v>30</v>
      </c>
      <c r="C131" s="0" t="s">
        <v>174</v>
      </c>
      <c r="D131" s="0" t="s">
        <v>1677</v>
      </c>
      <c r="E131" s="0" t="s">
        <v>1647</v>
      </c>
      <c r="F131" s="0">
        <v>404</v>
      </c>
      <c r="G131" s="0">
        <v>2</v>
      </c>
      <c r="H131" s="0" t="s">
        <v>1678</v>
      </c>
      <c r="I131" s="0" t="s">
        <v>1679</v>
      </c>
      <c r="J131" s="0" t="s">
        <v>114</v>
      </c>
      <c r="K131" s="0" t="s">
        <v>114</v>
      </c>
      <c r="L131" s="0" t="s">
        <v>114</v>
      </c>
      <c r="M131" s="0">
        <v>12</v>
      </c>
      <c r="N131" s="0">
        <v>43</v>
      </c>
      <c r="O131" s="0">
        <v>-361093</v>
      </c>
      <c r="P131" s="1">
        <f>=HYPERLINK("10.175.1.14\MWEB.12\ERR\EntityDetails.10.175.1.14.MWEB.12.Page Not Fou.-361093.xlsx", "&lt;Detail&gt;")</f>
      </c>
      <c r="Q131" s="1">
        <f>=HYPERLINK("10.175.1.14\MWEB.12\ERR\MetricGraphs.ERR.10.175.1.14.MWEB.12.xlsx", "&lt;Metrics&gt;")</f>
      </c>
      <c r="R131" s="0" t="s">
        <v>101</v>
      </c>
      <c r="S131" s="0" t="s">
        <v>145</v>
      </c>
      <c r="T131" s="0" t="s">
        <v>175</v>
      </c>
      <c r="U131" s="0" t="s">
        <v>114</v>
      </c>
    </row>
    <row r="132">
      <c r="A132" s="0" t="s">
        <v>28</v>
      </c>
      <c r="B132" s="0" t="s">
        <v>30</v>
      </c>
      <c r="C132" s="0" t="s">
        <v>174</v>
      </c>
      <c r="D132" s="0" t="s">
        <v>1732</v>
      </c>
      <c r="E132" s="0" t="s">
        <v>1635</v>
      </c>
      <c r="F132" s="0">
        <v>0</v>
      </c>
      <c r="G132" s="0">
        <v>1</v>
      </c>
      <c r="H132" s="0" t="s">
        <v>1732</v>
      </c>
      <c r="I132" s="0" t="s">
        <v>114</v>
      </c>
      <c r="J132" s="0" t="s">
        <v>114</v>
      </c>
      <c r="K132" s="0" t="s">
        <v>114</v>
      </c>
      <c r="L132" s="0" t="s">
        <v>114</v>
      </c>
      <c r="M132" s="0">
        <v>12</v>
      </c>
      <c r="N132" s="0">
        <v>43</v>
      </c>
      <c r="O132" s="0">
        <v>-511442</v>
      </c>
      <c r="P132" s="1">
        <f>=HYPERLINK("10.175.1.14\MWEB.12\ERR\EntityDetails.10.175.1.14.MWEB.12.PoolDisabled.-511442.xlsx", "&lt;Detail&gt;")</f>
      </c>
      <c r="Q132" s="1">
        <f>=HYPERLINK("10.175.1.14\MWEB.12\ERR\MetricGraphs.ERR.10.175.1.14.MWEB.12.xlsx", "&lt;Metrics&gt;")</f>
      </c>
      <c r="R132" s="0" t="s">
        <v>101</v>
      </c>
      <c r="S132" s="0" t="s">
        <v>145</v>
      </c>
      <c r="T132" s="0" t="s">
        <v>175</v>
      </c>
      <c r="U132" s="0" t="s">
        <v>114</v>
      </c>
    </row>
    <row r="133">
      <c r="A133" s="0" t="s">
        <v>28</v>
      </c>
      <c r="B133" s="0" t="s">
        <v>30</v>
      </c>
      <c r="C133" s="0" t="s">
        <v>174</v>
      </c>
      <c r="D133" s="0" t="s">
        <v>1733</v>
      </c>
      <c r="E133" s="0" t="s">
        <v>1635</v>
      </c>
      <c r="F133" s="0">
        <v>0</v>
      </c>
      <c r="G133" s="0">
        <v>5</v>
      </c>
      <c r="H133" s="0" t="s">
        <v>1681</v>
      </c>
      <c r="I133" s="0" t="s">
        <v>1693</v>
      </c>
      <c r="J133" s="0" t="s">
        <v>1694</v>
      </c>
      <c r="K133" s="0" t="s">
        <v>1724</v>
      </c>
      <c r="L133" s="0" t="s">
        <v>1697</v>
      </c>
      <c r="M133" s="0">
        <v>12</v>
      </c>
      <c r="N133" s="0">
        <v>43</v>
      </c>
      <c r="O133" s="0">
        <v>-512435</v>
      </c>
      <c r="P133" s="1">
        <f>=HYPERLINK("10.175.1.14\MWEB.12\ERR\EntityDetails.10.175.1.14.MWEB.12.SQLException.-512435.xlsx", "&lt;Detail&gt;")</f>
      </c>
      <c r="Q133" s="1">
        <f>=HYPERLINK("10.175.1.14\MWEB.12\ERR\MetricGraphs.ERR.10.175.1.14.MWEB.12.xlsx", "&lt;Metrics&gt;")</f>
      </c>
      <c r="R133" s="0" t="s">
        <v>101</v>
      </c>
      <c r="S133" s="0" t="s">
        <v>145</v>
      </c>
      <c r="T133" s="0" t="s">
        <v>175</v>
      </c>
      <c r="U133" s="0" t="s">
        <v>114</v>
      </c>
    </row>
    <row r="134">
      <c r="A134" s="0" t="s">
        <v>28</v>
      </c>
      <c r="B134" s="0" t="s">
        <v>30</v>
      </c>
      <c r="C134" s="0" t="s">
        <v>174</v>
      </c>
      <c r="D134" s="0" t="s">
        <v>1734</v>
      </c>
      <c r="E134" s="0" t="s">
        <v>1635</v>
      </c>
      <c r="F134" s="0">
        <v>0</v>
      </c>
      <c r="G134" s="0">
        <v>4</v>
      </c>
      <c r="H134" s="0" t="s">
        <v>1682</v>
      </c>
      <c r="I134" s="0" t="s">
        <v>1735</v>
      </c>
      <c r="J134" s="0" t="s">
        <v>1694</v>
      </c>
      <c r="K134" s="0" t="s">
        <v>1695</v>
      </c>
      <c r="L134" s="0" t="s">
        <v>114</v>
      </c>
      <c r="M134" s="0">
        <v>12</v>
      </c>
      <c r="N134" s="0">
        <v>43</v>
      </c>
      <c r="O134" s="0">
        <v>-511446</v>
      </c>
      <c r="P134" s="1">
        <f>=HYPERLINK("10.175.1.14\MWEB.12\ERR\EntityDetails.10.175.1.14.MWEB.12.SQLNonTransi.-511446.xlsx", "&lt;Detail&gt;")</f>
      </c>
      <c r="Q134" s="1">
        <f>=HYPERLINK("10.175.1.14\MWEB.12\ERR\MetricGraphs.ERR.10.175.1.14.MWEB.12.xlsx", "&lt;Metrics&gt;")</f>
      </c>
      <c r="R134" s="0" t="s">
        <v>101</v>
      </c>
      <c r="S134" s="0" t="s">
        <v>145</v>
      </c>
      <c r="T134" s="0" t="s">
        <v>175</v>
      </c>
      <c r="U134" s="0" t="s">
        <v>114</v>
      </c>
    </row>
    <row r="135">
      <c r="A135" s="0" t="s">
        <v>28</v>
      </c>
      <c r="B135" s="0" t="s">
        <v>30</v>
      </c>
      <c r="C135" s="0" t="s">
        <v>174</v>
      </c>
      <c r="D135" s="0" t="s">
        <v>1736</v>
      </c>
      <c r="E135" s="0" t="s">
        <v>1635</v>
      </c>
      <c r="F135" s="0">
        <v>0</v>
      </c>
      <c r="G135" s="0">
        <v>4</v>
      </c>
      <c r="H135" s="0" t="s">
        <v>1682</v>
      </c>
      <c r="I135" s="0" t="s">
        <v>1735</v>
      </c>
      <c r="J135" s="0" t="s">
        <v>1694</v>
      </c>
      <c r="K135" s="0" t="s">
        <v>1697</v>
      </c>
      <c r="L135" s="0" t="s">
        <v>114</v>
      </c>
      <c r="M135" s="0">
        <v>12</v>
      </c>
      <c r="N135" s="0">
        <v>43</v>
      </c>
      <c r="O135" s="0">
        <v>-512546</v>
      </c>
      <c r="P135" s="1">
        <f>=HYPERLINK("10.175.1.14\MWEB.12\ERR\EntityDetails.10.175.1.14.MWEB.12.SQLNonTransi.-512546.xlsx", "&lt;Detail&gt;")</f>
      </c>
      <c r="Q135" s="1">
        <f>=HYPERLINK("10.175.1.14\MWEB.12\ERR\MetricGraphs.ERR.10.175.1.14.MWEB.12.xlsx", "&lt;Metrics&gt;")</f>
      </c>
      <c r="R135" s="0" t="s">
        <v>101</v>
      </c>
      <c r="S135" s="0" t="s">
        <v>145</v>
      </c>
      <c r="T135" s="0" t="s">
        <v>175</v>
      </c>
      <c r="U135" s="0" t="s">
        <v>114</v>
      </c>
    </row>
    <row r="136">
      <c r="A136" s="0" t="s">
        <v>28</v>
      </c>
      <c r="B136" s="0" t="s">
        <v>30</v>
      </c>
      <c r="C136" s="0" t="s">
        <v>174</v>
      </c>
      <c r="D136" s="0" t="s">
        <v>1737</v>
      </c>
      <c r="E136" s="0" t="s">
        <v>1635</v>
      </c>
      <c r="F136" s="0">
        <v>0</v>
      </c>
      <c r="G136" s="0">
        <v>5</v>
      </c>
      <c r="H136" s="0" t="s">
        <v>1682</v>
      </c>
      <c r="I136" s="0" t="s">
        <v>1735</v>
      </c>
      <c r="J136" s="0" t="s">
        <v>1694</v>
      </c>
      <c r="K136" s="0" t="s">
        <v>1724</v>
      </c>
      <c r="L136" s="0" t="s">
        <v>1697</v>
      </c>
      <c r="M136" s="0">
        <v>12</v>
      </c>
      <c r="N136" s="0">
        <v>43</v>
      </c>
      <c r="O136" s="0">
        <v>-511424</v>
      </c>
      <c r="P136" s="1">
        <f>=HYPERLINK("10.175.1.14\MWEB.12\ERR\EntityDetails.10.175.1.14.MWEB.12.SQLNonTransi.-511424.xlsx", "&lt;Detail&gt;")</f>
      </c>
      <c r="Q136" s="1">
        <f>=HYPERLINK("10.175.1.14\MWEB.12\ERR\MetricGraphs.ERR.10.175.1.14.MWEB.12.xlsx", "&lt;Metrics&gt;")</f>
      </c>
      <c r="R136" s="0" t="s">
        <v>101</v>
      </c>
      <c r="S136" s="0" t="s">
        <v>145</v>
      </c>
      <c r="T136" s="0" t="s">
        <v>175</v>
      </c>
      <c r="U136" s="0" t="s">
        <v>114</v>
      </c>
    </row>
    <row r="137">
      <c r="A137" s="0" t="s">
        <v>28</v>
      </c>
      <c r="B137" s="0" t="s">
        <v>30</v>
      </c>
      <c r="C137" s="0" t="s">
        <v>174</v>
      </c>
      <c r="D137" s="0" t="s">
        <v>1683</v>
      </c>
      <c r="E137" s="0" t="s">
        <v>1647</v>
      </c>
      <c r="F137" s="0">
        <v>401</v>
      </c>
      <c r="G137" s="0">
        <v>2</v>
      </c>
      <c r="H137" s="0" t="s">
        <v>1684</v>
      </c>
      <c r="I137" s="0" t="s">
        <v>1685</v>
      </c>
      <c r="J137" s="0" t="s">
        <v>114</v>
      </c>
      <c r="K137" s="0" t="s">
        <v>114</v>
      </c>
      <c r="L137" s="0" t="s">
        <v>114</v>
      </c>
      <c r="M137" s="0">
        <v>12</v>
      </c>
      <c r="N137" s="0">
        <v>43</v>
      </c>
      <c r="O137" s="0">
        <v>-511308</v>
      </c>
      <c r="P137" s="1">
        <f>=HYPERLINK("10.175.1.14\MWEB.12\ERR\EntityDetails.10.175.1.14.MWEB.12.Unauthorized.-511308.xlsx", "&lt;Detail&gt;")</f>
      </c>
      <c r="Q137" s="1">
        <f>=HYPERLINK("10.175.1.14\MWEB.12\ERR\MetricGraphs.ERR.10.175.1.14.MWEB.12.xlsx", "&lt;Metrics&gt;")</f>
      </c>
      <c r="R137" s="0" t="s">
        <v>101</v>
      </c>
      <c r="S137" s="0" t="s">
        <v>145</v>
      </c>
      <c r="T137" s="0" t="s">
        <v>175</v>
      </c>
      <c r="U137" s="0" t="s">
        <v>114</v>
      </c>
    </row>
    <row r="138">
      <c r="A138" s="0" t="s">
        <v>28</v>
      </c>
      <c r="B138" s="0" t="s">
        <v>30</v>
      </c>
      <c r="C138" s="0" t="s">
        <v>176</v>
      </c>
      <c r="D138" s="0" t="s">
        <v>1738</v>
      </c>
      <c r="E138" s="0" t="s">
        <v>1635</v>
      </c>
      <c r="F138" s="0">
        <v>0</v>
      </c>
      <c r="G138" s="0">
        <v>1</v>
      </c>
      <c r="H138" s="0" t="s">
        <v>1738</v>
      </c>
      <c r="I138" s="0" t="s">
        <v>114</v>
      </c>
      <c r="J138" s="0" t="s">
        <v>114</v>
      </c>
      <c r="K138" s="0" t="s">
        <v>114</v>
      </c>
      <c r="L138" s="0" t="s">
        <v>114</v>
      </c>
      <c r="M138" s="0">
        <v>12</v>
      </c>
      <c r="N138" s="0">
        <v>34</v>
      </c>
      <c r="O138" s="0">
        <v>-331686</v>
      </c>
      <c r="P138" s="1">
        <f>=HYPERLINK("10.175.1.14\MWEB.12\ERR\EntityDetails.10.175.1.14.MWEB.12.BackEndExcep.-331686.xlsx", "&lt;Detail&gt;")</f>
      </c>
      <c r="Q138" s="1">
        <f>=HYPERLINK("10.175.1.14\MWEB.12\ERR\MetricGraphs.ERR.10.175.1.14.MWEB.12.xlsx", "&lt;Metrics&gt;")</f>
      </c>
      <c r="R138" s="0" t="s">
        <v>101</v>
      </c>
      <c r="S138" s="0" t="s">
        <v>145</v>
      </c>
      <c r="T138" s="0" t="s">
        <v>177</v>
      </c>
      <c r="U138" s="0" t="s">
        <v>114</v>
      </c>
    </row>
    <row r="139">
      <c r="A139" s="0" t="s">
        <v>28</v>
      </c>
      <c r="B139" s="0" t="s">
        <v>30</v>
      </c>
      <c r="C139" s="0" t="s">
        <v>176</v>
      </c>
      <c r="D139" s="0" t="s">
        <v>1739</v>
      </c>
      <c r="E139" s="0" t="s">
        <v>1635</v>
      </c>
      <c r="F139" s="0">
        <v>0</v>
      </c>
      <c r="G139" s="0">
        <v>2</v>
      </c>
      <c r="H139" s="0" t="s">
        <v>1740</v>
      </c>
      <c r="I139" s="0" t="s">
        <v>1741</v>
      </c>
      <c r="J139" s="0" t="s">
        <v>114</v>
      </c>
      <c r="K139" s="0" t="s">
        <v>114</v>
      </c>
      <c r="L139" s="0" t="s">
        <v>114</v>
      </c>
      <c r="M139" s="0">
        <v>12</v>
      </c>
      <c r="N139" s="0">
        <v>34</v>
      </c>
      <c r="O139" s="0">
        <v>-360317</v>
      </c>
      <c r="P139" s="1">
        <f>=HYPERLINK("10.175.1.14\MWEB.12\ERR\EntityDetails.10.175.1.14.MWEB.12.ClientAbortE.-360317.xlsx", "&lt;Detail&gt;")</f>
      </c>
      <c r="Q139" s="1">
        <f>=HYPERLINK("10.175.1.14\MWEB.12\ERR\MetricGraphs.ERR.10.175.1.14.MWEB.12.xlsx", "&lt;Metrics&gt;")</f>
      </c>
      <c r="R139" s="0" t="s">
        <v>101</v>
      </c>
      <c r="S139" s="0" t="s">
        <v>145</v>
      </c>
      <c r="T139" s="0" t="s">
        <v>177</v>
      </c>
      <c r="U139" s="0" t="s">
        <v>114</v>
      </c>
    </row>
    <row r="140">
      <c r="A140" s="0" t="s">
        <v>28</v>
      </c>
      <c r="B140" s="0" t="s">
        <v>30</v>
      </c>
      <c r="C140" s="0" t="s">
        <v>176</v>
      </c>
      <c r="D140" s="0" t="s">
        <v>1695</v>
      </c>
      <c r="E140" s="0" t="s">
        <v>1635</v>
      </c>
      <c r="F140" s="0">
        <v>0</v>
      </c>
      <c r="G140" s="0">
        <v>1</v>
      </c>
      <c r="H140" s="0" t="s">
        <v>1695</v>
      </c>
      <c r="I140" s="0" t="s">
        <v>114</v>
      </c>
      <c r="J140" s="0" t="s">
        <v>114</v>
      </c>
      <c r="K140" s="0" t="s">
        <v>114</v>
      </c>
      <c r="L140" s="0" t="s">
        <v>114</v>
      </c>
      <c r="M140" s="0">
        <v>12</v>
      </c>
      <c r="N140" s="0">
        <v>34</v>
      </c>
      <c r="O140" s="0">
        <v>-331632</v>
      </c>
      <c r="P140" s="1">
        <f>=HYPERLINK("10.175.1.14\MWEB.12\ERR\EntityDetails.10.175.1.14.MWEB.12.EOFException.-331632.xlsx", "&lt;Detail&gt;")</f>
      </c>
      <c r="Q140" s="1">
        <f>=HYPERLINK("10.175.1.14\MWEB.12\ERR\MetricGraphs.ERR.10.175.1.14.MWEB.12.xlsx", "&lt;Metrics&gt;")</f>
      </c>
      <c r="R140" s="0" t="s">
        <v>101</v>
      </c>
      <c r="S140" s="0" t="s">
        <v>145</v>
      </c>
      <c r="T140" s="0" t="s">
        <v>177</v>
      </c>
      <c r="U140" s="0" t="s">
        <v>114</v>
      </c>
    </row>
    <row r="141">
      <c r="A141" s="0" t="s">
        <v>28</v>
      </c>
      <c r="B141" s="0" t="s">
        <v>30</v>
      </c>
      <c r="C141" s="0" t="s">
        <v>176</v>
      </c>
      <c r="D141" s="0" t="s">
        <v>1742</v>
      </c>
      <c r="E141" s="0" t="s">
        <v>1635</v>
      </c>
      <c r="F141" s="0">
        <v>0</v>
      </c>
      <c r="G141" s="0">
        <v>3</v>
      </c>
      <c r="H141" s="0" t="s">
        <v>1743</v>
      </c>
      <c r="I141" s="0" t="s">
        <v>1744</v>
      </c>
      <c r="J141" s="0" t="s">
        <v>1745</v>
      </c>
      <c r="K141" s="0" t="s">
        <v>114</v>
      </c>
      <c r="L141" s="0" t="s">
        <v>114</v>
      </c>
      <c r="M141" s="0">
        <v>12</v>
      </c>
      <c r="N141" s="0">
        <v>34</v>
      </c>
      <c r="O141" s="0">
        <v>-361313</v>
      </c>
      <c r="P141" s="1">
        <f>=HYPERLINK("10.175.1.14\MWEB.12\ERR\EntityDetails.10.175.1.14.MWEB.12.IllegalState.-361313.xlsx", "&lt;Detail&gt;")</f>
      </c>
      <c r="Q141" s="1">
        <f>=HYPERLINK("10.175.1.14\MWEB.12\ERR\MetricGraphs.ERR.10.175.1.14.MWEB.12.xlsx", "&lt;Metrics&gt;")</f>
      </c>
      <c r="R141" s="0" t="s">
        <v>101</v>
      </c>
      <c r="S141" s="0" t="s">
        <v>145</v>
      </c>
      <c r="T141" s="0" t="s">
        <v>177</v>
      </c>
      <c r="U141" s="0" t="s">
        <v>114</v>
      </c>
    </row>
    <row r="142">
      <c r="A142" s="0" t="s">
        <v>28</v>
      </c>
      <c r="B142" s="0" t="s">
        <v>30</v>
      </c>
      <c r="C142" s="0" t="s">
        <v>176</v>
      </c>
      <c r="D142" s="0" t="s">
        <v>1658</v>
      </c>
      <c r="E142" s="0" t="s">
        <v>1647</v>
      </c>
      <c r="F142" s="0">
        <v>500</v>
      </c>
      <c r="G142" s="0">
        <v>2</v>
      </c>
      <c r="H142" s="0" t="s">
        <v>1659</v>
      </c>
      <c r="I142" s="0" t="s">
        <v>1660</v>
      </c>
      <c r="J142" s="0" t="s">
        <v>114</v>
      </c>
      <c r="K142" s="0" t="s">
        <v>114</v>
      </c>
      <c r="L142" s="0" t="s">
        <v>114</v>
      </c>
      <c r="M142" s="0">
        <v>12</v>
      </c>
      <c r="N142" s="0">
        <v>34</v>
      </c>
      <c r="O142" s="0">
        <v>-331634</v>
      </c>
      <c r="P142" s="1">
        <f>=HYPERLINK("10.175.1.14\MWEB.12\ERR\EntityDetails.10.175.1.14.MWEB.12.Internal Ser.-331634.xlsx", "&lt;Detail&gt;")</f>
      </c>
      <c r="Q142" s="1">
        <f>=HYPERLINK("10.175.1.14\MWEB.12\ERR\MetricGraphs.ERR.10.175.1.14.MWEB.12.xlsx", "&lt;Metrics&gt;")</f>
      </c>
      <c r="R142" s="0" t="s">
        <v>101</v>
      </c>
      <c r="S142" s="0" t="s">
        <v>145</v>
      </c>
      <c r="T142" s="0" t="s">
        <v>177</v>
      </c>
      <c r="U142" s="0" t="s">
        <v>114</v>
      </c>
    </row>
    <row r="143">
      <c r="A143" s="0" t="s">
        <v>28</v>
      </c>
      <c r="B143" s="0" t="s">
        <v>30</v>
      </c>
      <c r="C143" s="0" t="s">
        <v>176</v>
      </c>
      <c r="D143" s="0" t="s">
        <v>1746</v>
      </c>
      <c r="E143" s="0" t="s">
        <v>1635</v>
      </c>
      <c r="F143" s="0">
        <v>0</v>
      </c>
      <c r="G143" s="0">
        <v>1</v>
      </c>
      <c r="H143" s="0" t="s">
        <v>1746</v>
      </c>
      <c r="I143" s="0" t="s">
        <v>114</v>
      </c>
      <c r="J143" s="0" t="s">
        <v>114</v>
      </c>
      <c r="K143" s="0" t="s">
        <v>114</v>
      </c>
      <c r="L143" s="0" t="s">
        <v>114</v>
      </c>
      <c r="M143" s="0">
        <v>12</v>
      </c>
      <c r="N143" s="0">
        <v>34</v>
      </c>
      <c r="O143" s="0">
        <v>-331655</v>
      </c>
      <c r="P143" s="1">
        <f>=HYPERLINK("10.175.1.14\MWEB.12\ERR\EntityDetails.10.175.1.14.MWEB.12.InternalErro.-331655.xlsx", "&lt;Detail&gt;")</f>
      </c>
      <c r="Q143" s="1">
        <f>=HYPERLINK("10.175.1.14\MWEB.12\ERR\MetricGraphs.ERR.10.175.1.14.MWEB.12.xlsx", "&lt;Metrics&gt;")</f>
      </c>
      <c r="R143" s="0" t="s">
        <v>101</v>
      </c>
      <c r="S143" s="0" t="s">
        <v>145</v>
      </c>
      <c r="T143" s="0" t="s">
        <v>177</v>
      </c>
      <c r="U143" s="0" t="s">
        <v>114</v>
      </c>
    </row>
    <row r="144">
      <c r="A144" s="0" t="s">
        <v>28</v>
      </c>
      <c r="B144" s="0" t="s">
        <v>30</v>
      </c>
      <c r="C144" s="0" t="s">
        <v>176</v>
      </c>
      <c r="D144" s="0" t="s">
        <v>1741</v>
      </c>
      <c r="E144" s="0" t="s">
        <v>1635</v>
      </c>
      <c r="F144" s="0">
        <v>0</v>
      </c>
      <c r="G144" s="0">
        <v>1</v>
      </c>
      <c r="H144" s="0" t="s">
        <v>1741</v>
      </c>
      <c r="I144" s="0" t="s">
        <v>114</v>
      </c>
      <c r="J144" s="0" t="s">
        <v>114</v>
      </c>
      <c r="K144" s="0" t="s">
        <v>114</v>
      </c>
      <c r="L144" s="0" t="s">
        <v>114</v>
      </c>
      <c r="M144" s="0">
        <v>12</v>
      </c>
      <c r="N144" s="0">
        <v>34</v>
      </c>
      <c r="O144" s="0">
        <v>-360323</v>
      </c>
      <c r="P144" s="1">
        <f>=HYPERLINK("10.175.1.14\MWEB.12\ERR\EntityDetails.10.175.1.14.MWEB.12.IOException.-360323.xlsx", "&lt;Detail&gt;")</f>
      </c>
      <c r="Q144" s="1">
        <f>=HYPERLINK("10.175.1.14\MWEB.12\ERR\MetricGraphs.ERR.10.175.1.14.MWEB.12.xlsx", "&lt;Metrics&gt;")</f>
      </c>
      <c r="R144" s="0" t="s">
        <v>101</v>
      </c>
      <c r="S144" s="0" t="s">
        <v>145</v>
      </c>
      <c r="T144" s="0" t="s">
        <v>177</v>
      </c>
      <c r="U144" s="0" t="s">
        <v>114</v>
      </c>
    </row>
    <row r="145">
      <c r="A145" s="0" t="s">
        <v>28</v>
      </c>
      <c r="B145" s="0" t="s">
        <v>30</v>
      </c>
      <c r="C145" s="0" t="s">
        <v>176</v>
      </c>
      <c r="D145" s="0" t="s">
        <v>1709</v>
      </c>
      <c r="E145" s="0" t="s">
        <v>1635</v>
      </c>
      <c r="F145" s="0">
        <v>0</v>
      </c>
      <c r="G145" s="0">
        <v>2</v>
      </c>
      <c r="H145" s="0" t="s">
        <v>1710</v>
      </c>
      <c r="I145" s="0" t="s">
        <v>114</v>
      </c>
      <c r="J145" s="0" t="s">
        <v>114</v>
      </c>
      <c r="K145" s="0" t="s">
        <v>114</v>
      </c>
      <c r="L145" s="0" t="s">
        <v>114</v>
      </c>
      <c r="M145" s="0">
        <v>12</v>
      </c>
      <c r="N145" s="0">
        <v>34</v>
      </c>
      <c r="O145" s="0">
        <v>-331678</v>
      </c>
      <c r="P145" s="1">
        <f>=HYPERLINK("10.175.1.14\MWEB.12\ERR\EntityDetails.10.175.1.14.MWEB.12.java.lang.Cl.-331678.xlsx", "&lt;Detail&gt;")</f>
      </c>
      <c r="Q145" s="1">
        <f>=HYPERLINK("10.175.1.14\MWEB.12\ERR\MetricGraphs.ERR.10.175.1.14.MWEB.12.xlsx", "&lt;Metrics&gt;")</f>
      </c>
      <c r="R145" s="0" t="s">
        <v>101</v>
      </c>
      <c r="S145" s="0" t="s">
        <v>145</v>
      </c>
      <c r="T145" s="0" t="s">
        <v>177</v>
      </c>
      <c r="U145" s="0" t="s">
        <v>114</v>
      </c>
    </row>
    <row r="146">
      <c r="A146" s="0" t="s">
        <v>28</v>
      </c>
      <c r="B146" s="0" t="s">
        <v>30</v>
      </c>
      <c r="C146" s="0" t="s">
        <v>176</v>
      </c>
      <c r="D146" s="0" t="s">
        <v>1747</v>
      </c>
      <c r="E146" s="0" t="s">
        <v>1635</v>
      </c>
      <c r="F146" s="0">
        <v>0</v>
      </c>
      <c r="G146" s="0">
        <v>2</v>
      </c>
      <c r="H146" s="0" t="s">
        <v>1744</v>
      </c>
      <c r="I146" s="0" t="s">
        <v>1745</v>
      </c>
      <c r="J146" s="0" t="s">
        <v>114</v>
      </c>
      <c r="K146" s="0" t="s">
        <v>114</v>
      </c>
      <c r="L146" s="0" t="s">
        <v>114</v>
      </c>
      <c r="M146" s="0">
        <v>12</v>
      </c>
      <c r="N146" s="0">
        <v>34</v>
      </c>
      <c r="O146" s="0">
        <v>-370826</v>
      </c>
      <c r="P146" s="1">
        <f>=HYPERLINK("10.175.1.14\MWEB.12\ERR\EntityDetails.10.175.1.14.MWEB.12.LifecycleExc.-370826.xlsx", "&lt;Detail&gt;")</f>
      </c>
      <c r="Q146" s="1">
        <f>=HYPERLINK("10.175.1.14\MWEB.12\ERR\MetricGraphs.ERR.10.175.1.14.MWEB.12.xlsx", "&lt;Metrics&gt;")</f>
      </c>
      <c r="R146" s="0" t="s">
        <v>101</v>
      </c>
      <c r="S146" s="0" t="s">
        <v>145</v>
      </c>
      <c r="T146" s="0" t="s">
        <v>177</v>
      </c>
      <c r="U146" s="0" t="s">
        <v>114</v>
      </c>
    </row>
    <row r="147">
      <c r="A147" s="0" t="s">
        <v>28</v>
      </c>
      <c r="B147" s="0" t="s">
        <v>30</v>
      </c>
      <c r="C147" s="0" t="s">
        <v>176</v>
      </c>
      <c r="D147" s="0" t="s">
        <v>1748</v>
      </c>
      <c r="E147" s="0" t="s">
        <v>1635</v>
      </c>
      <c r="F147" s="0">
        <v>0</v>
      </c>
      <c r="G147" s="0">
        <v>1</v>
      </c>
      <c r="H147" s="0" t="s">
        <v>1748</v>
      </c>
      <c r="I147" s="0" t="s">
        <v>114</v>
      </c>
      <c r="J147" s="0" t="s">
        <v>114</v>
      </c>
      <c r="K147" s="0" t="s">
        <v>114</v>
      </c>
      <c r="L147" s="0" t="s">
        <v>114</v>
      </c>
      <c r="M147" s="0">
        <v>12</v>
      </c>
      <c r="N147" s="0">
        <v>34</v>
      </c>
      <c r="O147" s="0">
        <v>-361328</v>
      </c>
      <c r="P147" s="1">
        <f>=HYPERLINK("10.175.1.14\MWEB.12\ERR\EntityDetails.10.175.1.14.MWEB.12.MissingResou.-361328.xlsx", "&lt;Detail&gt;")</f>
      </c>
      <c r="Q147" s="1">
        <f>=HYPERLINK("10.175.1.14\MWEB.12\ERR\MetricGraphs.ERR.10.175.1.14.MWEB.12.xlsx", "&lt;Metrics&gt;")</f>
      </c>
      <c r="R147" s="0" t="s">
        <v>101</v>
      </c>
      <c r="S147" s="0" t="s">
        <v>145</v>
      </c>
      <c r="T147" s="0" t="s">
        <v>177</v>
      </c>
      <c r="U147" s="0" t="s">
        <v>114</v>
      </c>
    </row>
    <row r="148">
      <c r="A148" s="0" t="s">
        <v>28</v>
      </c>
      <c r="B148" s="0" t="s">
        <v>30</v>
      </c>
      <c r="C148" s="0" t="s">
        <v>176</v>
      </c>
      <c r="D148" s="0" t="s">
        <v>1749</v>
      </c>
      <c r="E148" s="0" t="s">
        <v>1635</v>
      </c>
      <c r="F148" s="0">
        <v>0</v>
      </c>
      <c r="G148" s="0">
        <v>1</v>
      </c>
      <c r="H148" s="0" t="s">
        <v>1749</v>
      </c>
      <c r="I148" s="0" t="s">
        <v>114</v>
      </c>
      <c r="J148" s="0" t="s">
        <v>114</v>
      </c>
      <c r="K148" s="0" t="s">
        <v>114</v>
      </c>
      <c r="L148" s="0" t="s">
        <v>114</v>
      </c>
      <c r="M148" s="0">
        <v>12</v>
      </c>
      <c r="N148" s="0">
        <v>34</v>
      </c>
      <c r="O148" s="0">
        <v>-331729</v>
      </c>
      <c r="P148" s="1">
        <f>=HYPERLINK("10.175.1.14\MWEB.12\ERR\EntityDetails.10.175.1.14.MWEB.12.MQException.-331729.xlsx", "&lt;Detail&gt;")</f>
      </c>
      <c r="Q148" s="1">
        <f>=HYPERLINK("10.175.1.14\MWEB.12\ERR\MetricGraphs.ERR.10.175.1.14.MWEB.12.xlsx", "&lt;Metrics&gt;")</f>
      </c>
      <c r="R148" s="0" t="s">
        <v>101</v>
      </c>
      <c r="S148" s="0" t="s">
        <v>145</v>
      </c>
      <c r="T148" s="0" t="s">
        <v>177</v>
      </c>
      <c r="U148" s="0" t="s">
        <v>114</v>
      </c>
    </row>
    <row r="149">
      <c r="A149" s="0" t="s">
        <v>28</v>
      </c>
      <c r="B149" s="0" t="s">
        <v>30</v>
      </c>
      <c r="C149" s="0" t="s">
        <v>176</v>
      </c>
      <c r="D149" s="0" t="s">
        <v>1750</v>
      </c>
      <c r="E149" s="0" t="s">
        <v>1635</v>
      </c>
      <c r="F149" s="0">
        <v>0</v>
      </c>
      <c r="G149" s="0">
        <v>3</v>
      </c>
      <c r="H149" s="0" t="s">
        <v>1749</v>
      </c>
      <c r="I149" s="0" t="s">
        <v>114</v>
      </c>
      <c r="J149" s="0" t="s">
        <v>1751</v>
      </c>
      <c r="K149" s="0" t="s">
        <v>114</v>
      </c>
      <c r="L149" s="0" t="s">
        <v>114</v>
      </c>
      <c r="M149" s="0">
        <v>12</v>
      </c>
      <c r="N149" s="0">
        <v>34</v>
      </c>
      <c r="O149" s="0">
        <v>-331682</v>
      </c>
      <c r="P149" s="1">
        <f>=HYPERLINK("10.175.1.14\MWEB.12\ERR\EntityDetails.10.175.1.14.MWEB.12.MQException .-331682.xlsx", "&lt;Detail&gt;")</f>
      </c>
      <c r="Q149" s="1">
        <f>=HYPERLINK("10.175.1.14\MWEB.12\ERR\MetricGraphs.ERR.10.175.1.14.MWEB.12.xlsx", "&lt;Metrics&gt;")</f>
      </c>
      <c r="R149" s="0" t="s">
        <v>101</v>
      </c>
      <c r="S149" s="0" t="s">
        <v>145</v>
      </c>
      <c r="T149" s="0" t="s">
        <v>177</v>
      </c>
      <c r="U149" s="0" t="s">
        <v>114</v>
      </c>
    </row>
    <row r="150">
      <c r="A150" s="0" t="s">
        <v>28</v>
      </c>
      <c r="B150" s="0" t="s">
        <v>30</v>
      </c>
      <c r="C150" s="0" t="s">
        <v>176</v>
      </c>
      <c r="D150" s="0" t="s">
        <v>1752</v>
      </c>
      <c r="E150" s="0" t="s">
        <v>1635</v>
      </c>
      <c r="F150" s="0">
        <v>0</v>
      </c>
      <c r="G150" s="0">
        <v>1</v>
      </c>
      <c r="H150" s="0" t="s">
        <v>1752</v>
      </c>
      <c r="I150" s="0" t="s">
        <v>114</v>
      </c>
      <c r="J150" s="0" t="s">
        <v>114</v>
      </c>
      <c r="K150" s="0" t="s">
        <v>114</v>
      </c>
      <c r="L150" s="0" t="s">
        <v>114</v>
      </c>
      <c r="M150" s="0">
        <v>12</v>
      </c>
      <c r="N150" s="0">
        <v>34</v>
      </c>
      <c r="O150" s="0">
        <v>-390622</v>
      </c>
      <c r="P150" s="1">
        <f>=HYPERLINK("10.175.1.14\MWEB.12\ERR\EntityDetails.10.175.1.14.MWEB.12.MQExceptionW.-390622.xlsx", "&lt;Detail&gt;")</f>
      </c>
      <c r="Q150" s="1">
        <f>=HYPERLINK("10.175.1.14\MWEB.12\ERR\MetricGraphs.ERR.10.175.1.14.MWEB.12.xlsx", "&lt;Metrics&gt;")</f>
      </c>
      <c r="R150" s="0" t="s">
        <v>101</v>
      </c>
      <c r="S150" s="0" t="s">
        <v>145</v>
      </c>
      <c r="T150" s="0" t="s">
        <v>177</v>
      </c>
      <c r="U150" s="0" t="s">
        <v>114</v>
      </c>
    </row>
    <row r="151">
      <c r="A151" s="0" t="s">
        <v>28</v>
      </c>
      <c r="B151" s="0" t="s">
        <v>30</v>
      </c>
      <c r="C151" s="0" t="s">
        <v>176</v>
      </c>
      <c r="D151" s="0" t="s">
        <v>1753</v>
      </c>
      <c r="E151" s="0" t="s">
        <v>1635</v>
      </c>
      <c r="F151" s="0">
        <v>0</v>
      </c>
      <c r="G151" s="0">
        <v>2</v>
      </c>
      <c r="H151" s="0" t="s">
        <v>1707</v>
      </c>
      <c r="I151" s="0" t="s">
        <v>1634</v>
      </c>
      <c r="J151" s="0" t="s">
        <v>114</v>
      </c>
      <c r="K151" s="0" t="s">
        <v>114</v>
      </c>
      <c r="L151" s="0" t="s">
        <v>114</v>
      </c>
      <c r="M151" s="0">
        <v>12</v>
      </c>
      <c r="N151" s="0">
        <v>34</v>
      </c>
      <c r="O151" s="0">
        <v>-331704</v>
      </c>
      <c r="P151" s="1">
        <f>=HYPERLINK("10.175.1.14\MWEB.12\ERR\EntityDetails.10.175.1.14.MWEB.12.NoClassDefFo.-331704.xlsx", "&lt;Detail&gt;")</f>
      </c>
      <c r="Q151" s="1">
        <f>=HYPERLINK("10.175.1.14\MWEB.12\ERR\MetricGraphs.ERR.10.175.1.14.MWEB.12.xlsx", "&lt;Metrics&gt;")</f>
      </c>
      <c r="R151" s="0" t="s">
        <v>101</v>
      </c>
      <c r="S151" s="0" t="s">
        <v>145</v>
      </c>
      <c r="T151" s="0" t="s">
        <v>177</v>
      </c>
      <c r="U151" s="0" t="s">
        <v>114</v>
      </c>
    </row>
    <row r="152">
      <c r="A152" s="0" t="s">
        <v>28</v>
      </c>
      <c r="B152" s="0" t="s">
        <v>30</v>
      </c>
      <c r="C152" s="0" t="s">
        <v>176</v>
      </c>
      <c r="D152" s="0" t="s">
        <v>1706</v>
      </c>
      <c r="E152" s="0" t="s">
        <v>1635</v>
      </c>
      <c r="F152" s="0">
        <v>0</v>
      </c>
      <c r="G152" s="0">
        <v>1</v>
      </c>
      <c r="H152" s="0" t="s">
        <v>1706</v>
      </c>
      <c r="I152" s="0" t="s">
        <v>114</v>
      </c>
      <c r="J152" s="0" t="s">
        <v>114</v>
      </c>
      <c r="K152" s="0" t="s">
        <v>114</v>
      </c>
      <c r="L152" s="0" t="s">
        <v>114</v>
      </c>
      <c r="M152" s="0">
        <v>12</v>
      </c>
      <c r="N152" s="0">
        <v>34</v>
      </c>
      <c r="O152" s="0">
        <v>-331711</v>
      </c>
      <c r="P152" s="1">
        <f>=HYPERLINK("10.175.1.14\MWEB.12\ERR\EntityDetails.10.175.1.14.MWEB.12.NullPointerE.-331711.xlsx", "&lt;Detail&gt;")</f>
      </c>
      <c r="Q152" s="1">
        <f>=HYPERLINK("10.175.1.14\MWEB.12\ERR\MetricGraphs.ERR.10.175.1.14.MWEB.12.xlsx", "&lt;Metrics&gt;")</f>
      </c>
      <c r="R152" s="0" t="s">
        <v>101</v>
      </c>
      <c r="S152" s="0" t="s">
        <v>145</v>
      </c>
      <c r="T152" s="0" t="s">
        <v>177</v>
      </c>
      <c r="U152" s="0" t="s">
        <v>114</v>
      </c>
    </row>
    <row r="153">
      <c r="A153" s="0" t="s">
        <v>28</v>
      </c>
      <c r="B153" s="0" t="s">
        <v>30</v>
      </c>
      <c r="C153" s="0" t="s">
        <v>176</v>
      </c>
      <c r="D153" s="0" t="s">
        <v>1677</v>
      </c>
      <c r="E153" s="0" t="s">
        <v>1647</v>
      </c>
      <c r="F153" s="0">
        <v>404</v>
      </c>
      <c r="G153" s="0">
        <v>2</v>
      </c>
      <c r="H153" s="0" t="s">
        <v>1678</v>
      </c>
      <c r="I153" s="0" t="s">
        <v>1679</v>
      </c>
      <c r="J153" s="0" t="s">
        <v>114</v>
      </c>
      <c r="K153" s="0" t="s">
        <v>114</v>
      </c>
      <c r="L153" s="0" t="s">
        <v>114</v>
      </c>
      <c r="M153" s="0">
        <v>12</v>
      </c>
      <c r="N153" s="0">
        <v>34</v>
      </c>
      <c r="O153" s="0">
        <v>-270900</v>
      </c>
      <c r="P153" s="1">
        <f>=HYPERLINK("10.175.1.14\MWEB.12\ERR\EntityDetails.10.175.1.14.MWEB.12.Page Not Fou.-270900.xlsx", "&lt;Detail&gt;")</f>
      </c>
      <c r="Q153" s="1">
        <f>=HYPERLINK("10.175.1.14\MWEB.12\ERR\MetricGraphs.ERR.10.175.1.14.MWEB.12.xlsx", "&lt;Metrics&gt;")</f>
      </c>
      <c r="R153" s="0" t="s">
        <v>101</v>
      </c>
      <c r="S153" s="0" t="s">
        <v>145</v>
      </c>
      <c r="T153" s="0" t="s">
        <v>177</v>
      </c>
      <c r="U153" s="0" t="s">
        <v>114</v>
      </c>
    </row>
    <row r="154">
      <c r="A154" s="0" t="s">
        <v>28</v>
      </c>
      <c r="B154" s="0" t="s">
        <v>30</v>
      </c>
      <c r="C154" s="0" t="s">
        <v>176</v>
      </c>
      <c r="D154" s="0" t="s">
        <v>1754</v>
      </c>
      <c r="E154" s="0" t="s">
        <v>1635</v>
      </c>
      <c r="F154" s="0">
        <v>0</v>
      </c>
      <c r="G154" s="0">
        <v>1</v>
      </c>
      <c r="H154" s="0" t="s">
        <v>1754</v>
      </c>
      <c r="I154" s="0" t="s">
        <v>114</v>
      </c>
      <c r="J154" s="0" t="s">
        <v>114</v>
      </c>
      <c r="K154" s="0" t="s">
        <v>114</v>
      </c>
      <c r="L154" s="0" t="s">
        <v>114</v>
      </c>
      <c r="M154" s="0">
        <v>12</v>
      </c>
      <c r="N154" s="0">
        <v>34</v>
      </c>
      <c r="O154" s="0">
        <v>-331668</v>
      </c>
      <c r="P154" s="1">
        <f>=HYPERLINK("10.175.1.14\MWEB.12\ERR\EntityDetails.10.175.1.14.MWEB.12.SecurityViol.-331668.xlsx", "&lt;Detail&gt;")</f>
      </c>
      <c r="Q154" s="1">
        <f>=HYPERLINK("10.175.1.14\MWEB.12\ERR\MetricGraphs.ERR.10.175.1.14.MWEB.12.xlsx", "&lt;Metrics&gt;")</f>
      </c>
      <c r="R154" s="0" t="s">
        <v>101</v>
      </c>
      <c r="S154" s="0" t="s">
        <v>145</v>
      </c>
      <c r="T154" s="0" t="s">
        <v>177</v>
      </c>
      <c r="U154" s="0" t="s">
        <v>114</v>
      </c>
    </row>
    <row r="155">
      <c r="A155" s="0" t="s">
        <v>28</v>
      </c>
      <c r="B155" s="0" t="s">
        <v>30</v>
      </c>
      <c r="C155" s="0" t="s">
        <v>176</v>
      </c>
      <c r="D155" s="0" t="s">
        <v>1755</v>
      </c>
      <c r="E155" s="0" t="s">
        <v>1635</v>
      </c>
      <c r="F155" s="0">
        <v>0</v>
      </c>
      <c r="G155" s="0">
        <v>3</v>
      </c>
      <c r="H155" s="0" t="s">
        <v>1756</v>
      </c>
      <c r="I155" s="0" t="s">
        <v>1740</v>
      </c>
      <c r="J155" s="0" t="s">
        <v>1741</v>
      </c>
      <c r="K155" s="0" t="s">
        <v>114</v>
      </c>
      <c r="L155" s="0" t="s">
        <v>114</v>
      </c>
      <c r="M155" s="0">
        <v>12</v>
      </c>
      <c r="N155" s="0">
        <v>34</v>
      </c>
      <c r="O155" s="0">
        <v>-360321</v>
      </c>
      <c r="P155" s="1">
        <f>=HYPERLINK("10.175.1.14\MWEB.12\ERR\EntityDetails.10.175.1.14.MWEB.12.ServletExcep.-360321.xlsx", "&lt;Detail&gt;")</f>
      </c>
      <c r="Q155" s="1">
        <f>=HYPERLINK("10.175.1.14\MWEB.12\ERR\MetricGraphs.ERR.10.175.1.14.MWEB.12.xlsx", "&lt;Metrics&gt;")</f>
      </c>
      <c r="R155" s="0" t="s">
        <v>101</v>
      </c>
      <c r="S155" s="0" t="s">
        <v>145</v>
      </c>
      <c r="T155" s="0" t="s">
        <v>177</v>
      </c>
      <c r="U155" s="0" t="s">
        <v>114</v>
      </c>
    </row>
    <row r="156">
      <c r="A156" s="0" t="s">
        <v>28</v>
      </c>
      <c r="B156" s="0" t="s">
        <v>30</v>
      </c>
      <c r="C156" s="0" t="s">
        <v>176</v>
      </c>
      <c r="D156" s="0" t="s">
        <v>1757</v>
      </c>
      <c r="E156" s="0" t="s">
        <v>1635</v>
      </c>
      <c r="F156" s="0">
        <v>0</v>
      </c>
      <c r="G156" s="0">
        <v>1</v>
      </c>
      <c r="H156" s="0" t="s">
        <v>1757</v>
      </c>
      <c r="I156" s="0" t="s">
        <v>114</v>
      </c>
      <c r="J156" s="0" t="s">
        <v>114</v>
      </c>
      <c r="K156" s="0" t="s">
        <v>114</v>
      </c>
      <c r="L156" s="0" t="s">
        <v>114</v>
      </c>
      <c r="M156" s="0">
        <v>12</v>
      </c>
      <c r="N156" s="0">
        <v>34</v>
      </c>
      <c r="O156" s="0">
        <v>-360304</v>
      </c>
      <c r="P156" s="1">
        <f>=HYPERLINK("10.175.1.14\MWEB.12\ERR\EntityDetails.10.175.1.14.MWEB.12.TimeOutExcep.-360304.xlsx", "&lt;Detail&gt;")</f>
      </c>
      <c r="Q156" s="1">
        <f>=HYPERLINK("10.175.1.14\MWEB.12\ERR\MetricGraphs.ERR.10.175.1.14.MWEB.12.xlsx", "&lt;Metrics&gt;")</f>
      </c>
      <c r="R156" s="0" t="s">
        <v>101</v>
      </c>
      <c r="S156" s="0" t="s">
        <v>145</v>
      </c>
      <c r="T156" s="0" t="s">
        <v>177</v>
      </c>
      <c r="U156" s="0" t="s">
        <v>114</v>
      </c>
    </row>
    <row r="157">
      <c r="A157" s="0" t="s">
        <v>28</v>
      </c>
      <c r="B157" s="0" t="s">
        <v>30</v>
      </c>
      <c r="C157" s="0" t="s">
        <v>178</v>
      </c>
      <c r="D157" s="0" t="s">
        <v>1636</v>
      </c>
      <c r="E157" s="0" t="s">
        <v>1635</v>
      </c>
      <c r="F157" s="0">
        <v>0</v>
      </c>
      <c r="G157" s="0">
        <v>4</v>
      </c>
      <c r="H157" s="0" t="s">
        <v>1637</v>
      </c>
      <c r="I157" s="0" t="s">
        <v>1638</v>
      </c>
      <c r="J157" s="0" t="s">
        <v>1639</v>
      </c>
      <c r="K157" s="0" t="s">
        <v>114</v>
      </c>
      <c r="L157" s="0" t="s">
        <v>114</v>
      </c>
      <c r="M157" s="0">
        <v>12</v>
      </c>
      <c r="N157" s="0">
        <v>49</v>
      </c>
      <c r="O157" s="0">
        <v>-516815</v>
      </c>
      <c r="P157" s="1">
        <f>=HYPERLINK("10.175.1.14\MWEB.12\ERR\EntityDetails.10.175.1.14.MWEB.12.com.mysql.cj.-516815.xlsx", "&lt;Detail&gt;")</f>
      </c>
      <c r="Q157" s="1">
        <f>=HYPERLINK("10.175.1.14\MWEB.12\ERR\MetricGraphs.ERR.10.175.1.14.MWEB.12.xlsx", "&lt;Metrics&gt;")</f>
      </c>
      <c r="R157" s="0" t="s">
        <v>101</v>
      </c>
      <c r="S157" s="0" t="s">
        <v>145</v>
      </c>
      <c r="T157" s="0" t="s">
        <v>179</v>
      </c>
      <c r="U157" s="0" t="s">
        <v>114</v>
      </c>
    </row>
    <row r="158">
      <c r="A158" s="0" t="s">
        <v>28</v>
      </c>
      <c r="B158" s="0" t="s">
        <v>30</v>
      </c>
      <c r="C158" s="0" t="s">
        <v>178</v>
      </c>
      <c r="D158" s="0" t="s">
        <v>1642</v>
      </c>
      <c r="E158" s="0" t="s">
        <v>1635</v>
      </c>
      <c r="F158" s="0">
        <v>0</v>
      </c>
      <c r="G158" s="0">
        <v>5</v>
      </c>
      <c r="H158" s="0" t="s">
        <v>1637</v>
      </c>
      <c r="I158" s="0" t="s">
        <v>1638</v>
      </c>
      <c r="J158" s="0" t="s">
        <v>1643</v>
      </c>
      <c r="K158" s="0" t="s">
        <v>1641</v>
      </c>
      <c r="L158" s="0" t="s">
        <v>114</v>
      </c>
      <c r="M158" s="0">
        <v>12</v>
      </c>
      <c r="N158" s="0">
        <v>49</v>
      </c>
      <c r="O158" s="0">
        <v>-517817</v>
      </c>
      <c r="P158" s="1">
        <f>=HYPERLINK("10.175.1.14\MWEB.12\ERR\EntityDetails.10.175.1.14.MWEB.12.com.mysql.cj.-517817.xlsx", "&lt;Detail&gt;")</f>
      </c>
      <c r="Q158" s="1">
        <f>=HYPERLINK("10.175.1.14\MWEB.12\ERR\MetricGraphs.ERR.10.175.1.14.MWEB.12.xlsx", "&lt;Metrics&gt;")</f>
      </c>
      <c r="R158" s="0" t="s">
        <v>101</v>
      </c>
      <c r="S158" s="0" t="s">
        <v>145</v>
      </c>
      <c r="T158" s="0" t="s">
        <v>179</v>
      </c>
      <c r="U158" s="0" t="s">
        <v>114</v>
      </c>
    </row>
    <row r="159">
      <c r="A159" s="0" t="s">
        <v>28</v>
      </c>
      <c r="B159" s="0" t="s">
        <v>30</v>
      </c>
      <c r="C159" s="0" t="s">
        <v>178</v>
      </c>
      <c r="D159" s="0" t="s">
        <v>1644</v>
      </c>
      <c r="E159" s="0" t="s">
        <v>1635</v>
      </c>
      <c r="F159" s="0">
        <v>0</v>
      </c>
      <c r="G159" s="0">
        <v>2</v>
      </c>
      <c r="H159" s="0" t="s">
        <v>1645</v>
      </c>
      <c r="I159" s="0" t="s">
        <v>114</v>
      </c>
      <c r="J159" s="0" t="s">
        <v>114</v>
      </c>
      <c r="K159" s="0" t="s">
        <v>114</v>
      </c>
      <c r="L159" s="0" t="s">
        <v>114</v>
      </c>
      <c r="M159" s="0">
        <v>12</v>
      </c>
      <c r="N159" s="0">
        <v>49</v>
      </c>
      <c r="O159" s="0">
        <v>-632697</v>
      </c>
      <c r="P159" s="1">
        <f>=HYPERLINK("10.175.1.14\MWEB.12\ERR\EntityDetails.10.175.1.14.MWEB.12.com.mysql.cj.-632697.xlsx", "&lt;Detail&gt;")</f>
      </c>
      <c r="Q159" s="1">
        <f>=HYPERLINK("10.175.1.14\MWEB.12\ERR\MetricGraphs.ERR.10.175.1.14.MWEB.12.xlsx", "&lt;Metrics&gt;")</f>
      </c>
      <c r="R159" s="0" t="s">
        <v>101</v>
      </c>
      <c r="S159" s="0" t="s">
        <v>145</v>
      </c>
      <c r="T159" s="0" t="s">
        <v>179</v>
      </c>
      <c r="U159" s="0" t="s">
        <v>114</v>
      </c>
    </row>
    <row r="160">
      <c r="A160" s="0" t="s">
        <v>28</v>
      </c>
      <c r="B160" s="0" t="s">
        <v>30</v>
      </c>
      <c r="C160" s="0" t="s">
        <v>178</v>
      </c>
      <c r="D160" s="0" t="s">
        <v>1758</v>
      </c>
      <c r="E160" s="0" t="s">
        <v>1635</v>
      </c>
      <c r="F160" s="0">
        <v>0</v>
      </c>
      <c r="G160" s="0">
        <v>3</v>
      </c>
      <c r="H160" s="0" t="s">
        <v>1698</v>
      </c>
      <c r="I160" s="0" t="s">
        <v>1698</v>
      </c>
      <c r="J160" s="0" t="s">
        <v>1698</v>
      </c>
      <c r="K160" s="0" t="s">
        <v>114</v>
      </c>
      <c r="L160" s="0" t="s">
        <v>114</v>
      </c>
      <c r="M160" s="0">
        <v>12</v>
      </c>
      <c r="N160" s="0">
        <v>49</v>
      </c>
      <c r="O160" s="0">
        <v>-631565</v>
      </c>
      <c r="P160" s="1">
        <f>=HYPERLINK("10.175.1.14\MWEB.12\ERR\EntityDetails.10.175.1.14.MWEB.12.ConnectExcep.-631565.xlsx", "&lt;Detail&gt;")</f>
      </c>
      <c r="Q160" s="1">
        <f>=HYPERLINK("10.175.1.14\MWEB.12\ERR\MetricGraphs.ERR.10.175.1.14.MWEB.12.xlsx", "&lt;Metrics&gt;")</f>
      </c>
      <c r="R160" s="0" t="s">
        <v>101</v>
      </c>
      <c r="S160" s="0" t="s">
        <v>145</v>
      </c>
      <c r="T160" s="0" t="s">
        <v>179</v>
      </c>
      <c r="U160" s="0" t="s">
        <v>114</v>
      </c>
    </row>
    <row r="161">
      <c r="A161" s="0" t="s">
        <v>28</v>
      </c>
      <c r="B161" s="0" t="s">
        <v>30</v>
      </c>
      <c r="C161" s="0" t="s">
        <v>178</v>
      </c>
      <c r="D161" s="0" t="s">
        <v>1658</v>
      </c>
      <c r="E161" s="0" t="s">
        <v>1647</v>
      </c>
      <c r="F161" s="0">
        <v>500</v>
      </c>
      <c r="G161" s="0">
        <v>2</v>
      </c>
      <c r="H161" s="0" t="s">
        <v>1659</v>
      </c>
      <c r="I161" s="0" t="s">
        <v>1660</v>
      </c>
      <c r="J161" s="0" t="s">
        <v>114</v>
      </c>
      <c r="K161" s="0" t="s">
        <v>114</v>
      </c>
      <c r="L161" s="0" t="s">
        <v>114</v>
      </c>
      <c r="M161" s="0">
        <v>12</v>
      </c>
      <c r="N161" s="0">
        <v>49</v>
      </c>
      <c r="O161" s="0">
        <v>-516819</v>
      </c>
      <c r="P161" s="1">
        <f>=HYPERLINK("10.175.1.14\MWEB.12\ERR\EntityDetails.10.175.1.14.MWEB.12.Internal Ser.-516819.xlsx", "&lt;Detail&gt;")</f>
      </c>
      <c r="Q161" s="1">
        <f>=HYPERLINK("10.175.1.14\MWEB.12\ERR\MetricGraphs.ERR.10.175.1.14.MWEB.12.xlsx", "&lt;Metrics&gt;")</f>
      </c>
      <c r="R161" s="0" t="s">
        <v>101</v>
      </c>
      <c r="S161" s="0" t="s">
        <v>145</v>
      </c>
      <c r="T161" s="0" t="s">
        <v>179</v>
      </c>
      <c r="U161" s="0" t="s">
        <v>114</v>
      </c>
    </row>
    <row r="162">
      <c r="A162" s="0" t="s">
        <v>28</v>
      </c>
      <c r="B162" s="0" t="s">
        <v>30</v>
      </c>
      <c r="C162" s="0" t="s">
        <v>178</v>
      </c>
      <c r="D162" s="0" t="s">
        <v>1667</v>
      </c>
      <c r="E162" s="0" t="s">
        <v>1635</v>
      </c>
      <c r="F162" s="0">
        <v>0</v>
      </c>
      <c r="G162" s="0">
        <v>2</v>
      </c>
      <c r="H162" s="0" t="s">
        <v>1668</v>
      </c>
      <c r="I162" s="0" t="s">
        <v>114</v>
      </c>
      <c r="J162" s="0" t="s">
        <v>114</v>
      </c>
      <c r="K162" s="0" t="s">
        <v>114</v>
      </c>
      <c r="L162" s="0" t="s">
        <v>114</v>
      </c>
      <c r="M162" s="0">
        <v>12</v>
      </c>
      <c r="N162" s="0">
        <v>49</v>
      </c>
      <c r="O162" s="0">
        <v>-631569</v>
      </c>
      <c r="P162" s="1">
        <f>=HYPERLINK("10.175.1.14\MWEB.12\ERR\EntityDetails.10.175.1.14.MWEB.12.java.rmi.Con.-631569.xlsx", "&lt;Detail&gt;")</f>
      </c>
      <c r="Q162" s="1">
        <f>=HYPERLINK("10.175.1.14\MWEB.12\ERR\MetricGraphs.ERR.10.175.1.14.MWEB.12.xlsx", "&lt;Metrics&gt;")</f>
      </c>
      <c r="R162" s="0" t="s">
        <v>101</v>
      </c>
      <c r="S162" s="0" t="s">
        <v>145</v>
      </c>
      <c r="T162" s="0" t="s">
        <v>179</v>
      </c>
      <c r="U162" s="0" t="s">
        <v>114</v>
      </c>
    </row>
    <row r="163">
      <c r="A163" s="0" t="s">
        <v>28</v>
      </c>
      <c r="B163" s="0" t="s">
        <v>30</v>
      </c>
      <c r="C163" s="0" t="s">
        <v>178</v>
      </c>
      <c r="D163" s="0" t="s">
        <v>1669</v>
      </c>
      <c r="E163" s="0" t="s">
        <v>1635</v>
      </c>
      <c r="F163" s="0">
        <v>0</v>
      </c>
      <c r="G163" s="0">
        <v>3</v>
      </c>
      <c r="H163" s="0" t="s">
        <v>1668</v>
      </c>
      <c r="I163" s="0" t="s">
        <v>1668</v>
      </c>
      <c r="J163" s="0" t="s">
        <v>114</v>
      </c>
      <c r="K163" s="0" t="s">
        <v>114</v>
      </c>
      <c r="L163" s="0" t="s">
        <v>114</v>
      </c>
      <c r="M163" s="0">
        <v>12</v>
      </c>
      <c r="N163" s="0">
        <v>49</v>
      </c>
      <c r="O163" s="0">
        <v>-631567</v>
      </c>
      <c r="P163" s="1">
        <f>=HYPERLINK("10.175.1.14\MWEB.12\ERR\EntityDetails.10.175.1.14.MWEB.12.java.rmi.Con.-631567.xlsx", "&lt;Detail&gt;")</f>
      </c>
      <c r="Q163" s="1">
        <f>=HYPERLINK("10.175.1.14\MWEB.12\ERR\MetricGraphs.ERR.10.175.1.14.MWEB.12.xlsx", "&lt;Metrics&gt;")</f>
      </c>
      <c r="R163" s="0" t="s">
        <v>101</v>
      </c>
      <c r="S163" s="0" t="s">
        <v>145</v>
      </c>
      <c r="T163" s="0" t="s">
        <v>179</v>
      </c>
      <c r="U163" s="0" t="s">
        <v>114</v>
      </c>
    </row>
    <row r="164">
      <c r="A164" s="0" t="s">
        <v>28</v>
      </c>
      <c r="B164" s="0" t="s">
        <v>30</v>
      </c>
      <c r="C164" s="0" t="s">
        <v>178</v>
      </c>
      <c r="D164" s="0" t="s">
        <v>1726</v>
      </c>
      <c r="E164" s="0" t="s">
        <v>1635</v>
      </c>
      <c r="F164" s="0">
        <v>0</v>
      </c>
      <c r="G164" s="0">
        <v>2</v>
      </c>
      <c r="H164" s="0" t="s">
        <v>1727</v>
      </c>
      <c r="I164" s="0" t="s">
        <v>114</v>
      </c>
      <c r="J164" s="0" t="s">
        <v>114</v>
      </c>
      <c r="K164" s="0" t="s">
        <v>114</v>
      </c>
      <c r="L164" s="0" t="s">
        <v>114</v>
      </c>
      <c r="M164" s="0">
        <v>12</v>
      </c>
      <c r="N164" s="0">
        <v>49</v>
      </c>
      <c r="O164" s="0">
        <v>-520262</v>
      </c>
      <c r="P164" s="1">
        <f>=HYPERLINK("10.175.1.14\MWEB.12\ERR\EntityDetails.10.175.1.14.MWEB.12.java.sql.SQL.-520262.xlsx", "&lt;Detail&gt;")</f>
      </c>
      <c r="Q164" s="1">
        <f>=HYPERLINK("10.175.1.14\MWEB.12\ERR\MetricGraphs.ERR.10.175.1.14.MWEB.12.xlsx", "&lt;Metrics&gt;")</f>
      </c>
      <c r="R164" s="0" t="s">
        <v>101</v>
      </c>
      <c r="S164" s="0" t="s">
        <v>145</v>
      </c>
      <c r="T164" s="0" t="s">
        <v>179</v>
      </c>
      <c r="U164" s="0" t="s">
        <v>114</v>
      </c>
    </row>
    <row r="165">
      <c r="A165" s="0" t="s">
        <v>28</v>
      </c>
      <c r="B165" s="0" t="s">
        <v>30</v>
      </c>
      <c r="C165" s="0" t="s">
        <v>178</v>
      </c>
      <c r="D165" s="0" t="s">
        <v>1670</v>
      </c>
      <c r="E165" s="0" t="s">
        <v>1635</v>
      </c>
      <c r="F165" s="0">
        <v>0</v>
      </c>
      <c r="G165" s="0">
        <v>2</v>
      </c>
      <c r="H165" s="0" t="s">
        <v>1671</v>
      </c>
      <c r="I165" s="0" t="s">
        <v>114</v>
      </c>
      <c r="J165" s="0" t="s">
        <v>114</v>
      </c>
      <c r="K165" s="0" t="s">
        <v>114</v>
      </c>
      <c r="L165" s="0" t="s">
        <v>114</v>
      </c>
      <c r="M165" s="0">
        <v>12</v>
      </c>
      <c r="N165" s="0">
        <v>49</v>
      </c>
      <c r="O165" s="0">
        <v>-635335</v>
      </c>
      <c r="P165" s="1">
        <f>=HYPERLINK("10.175.1.14\MWEB.12\ERR\EntityDetails.10.175.1.14.MWEB.12.java.sql.SQL.-635335.xlsx", "&lt;Detail&gt;")</f>
      </c>
      <c r="Q165" s="1">
        <f>=HYPERLINK("10.175.1.14\MWEB.12\ERR\MetricGraphs.ERR.10.175.1.14.MWEB.12.xlsx", "&lt;Metrics&gt;")</f>
      </c>
      <c r="R165" s="0" t="s">
        <v>101</v>
      </c>
      <c r="S165" s="0" t="s">
        <v>145</v>
      </c>
      <c r="T165" s="0" t="s">
        <v>179</v>
      </c>
      <c r="U165" s="0" t="s">
        <v>114</v>
      </c>
    </row>
    <row r="166">
      <c r="A166" s="0" t="s">
        <v>28</v>
      </c>
      <c r="B166" s="0" t="s">
        <v>30</v>
      </c>
      <c r="C166" s="0" t="s">
        <v>178</v>
      </c>
      <c r="D166" s="0" t="s">
        <v>1677</v>
      </c>
      <c r="E166" s="0" t="s">
        <v>1647</v>
      </c>
      <c r="F166" s="0">
        <v>404</v>
      </c>
      <c r="G166" s="0">
        <v>2</v>
      </c>
      <c r="H166" s="0" t="s">
        <v>1678</v>
      </c>
      <c r="I166" s="0" t="s">
        <v>1679</v>
      </c>
      <c r="J166" s="0" t="s">
        <v>114</v>
      </c>
      <c r="K166" s="0" t="s">
        <v>114</v>
      </c>
      <c r="L166" s="0" t="s">
        <v>114</v>
      </c>
      <c r="M166" s="0">
        <v>12</v>
      </c>
      <c r="N166" s="0">
        <v>49</v>
      </c>
      <c r="O166" s="0">
        <v>-517895</v>
      </c>
      <c r="P166" s="1">
        <f>=HYPERLINK("10.175.1.14\MWEB.12\ERR\EntityDetails.10.175.1.14.MWEB.12.Page Not Fou.-517895.xlsx", "&lt;Detail&gt;")</f>
      </c>
      <c r="Q166" s="1">
        <f>=HYPERLINK("10.175.1.14\MWEB.12\ERR\MetricGraphs.ERR.10.175.1.14.MWEB.12.xlsx", "&lt;Metrics&gt;")</f>
      </c>
      <c r="R166" s="0" t="s">
        <v>101</v>
      </c>
      <c r="S166" s="0" t="s">
        <v>145</v>
      </c>
      <c r="T166" s="0" t="s">
        <v>179</v>
      </c>
      <c r="U166" s="0" t="s">
        <v>114</v>
      </c>
    </row>
    <row r="167">
      <c r="A167" s="0" t="s">
        <v>28</v>
      </c>
      <c r="B167" s="0" t="s">
        <v>30</v>
      </c>
      <c r="C167" s="0" t="s">
        <v>178</v>
      </c>
      <c r="D167" s="0" t="s">
        <v>1687</v>
      </c>
      <c r="E167" s="0" t="s">
        <v>1635</v>
      </c>
      <c r="F167" s="0">
        <v>0</v>
      </c>
      <c r="G167" s="0">
        <v>2</v>
      </c>
      <c r="H167" s="0" t="s">
        <v>1688</v>
      </c>
      <c r="I167" s="0" t="s">
        <v>114</v>
      </c>
      <c r="J167" s="0" t="s">
        <v>114</v>
      </c>
      <c r="K167" s="0" t="s">
        <v>114</v>
      </c>
      <c r="L167" s="0" t="s">
        <v>114</v>
      </c>
      <c r="M167" s="0">
        <v>12</v>
      </c>
      <c r="N167" s="0">
        <v>49</v>
      </c>
      <c r="O167" s="0">
        <v>-520248</v>
      </c>
      <c r="P167" s="1">
        <f>=HYPERLINK("10.175.1.14\MWEB.12\ERR\EntityDetails.10.175.1.14.MWEB.12.weblogic.jdb.-520248.xlsx", "&lt;Detail&gt;")</f>
      </c>
      <c r="Q167" s="1">
        <f>=HYPERLINK("10.175.1.14\MWEB.12\ERR\MetricGraphs.ERR.10.175.1.14.MWEB.12.xlsx", "&lt;Metrics&gt;")</f>
      </c>
      <c r="R167" s="0" t="s">
        <v>101</v>
      </c>
      <c r="S167" s="0" t="s">
        <v>145</v>
      </c>
      <c r="T167" s="0" t="s">
        <v>179</v>
      </c>
      <c r="U167" s="0" t="s">
        <v>114</v>
      </c>
    </row>
    <row r="168">
      <c r="A168" s="0" t="s">
        <v>28</v>
      </c>
      <c r="B168" s="0" t="s">
        <v>30</v>
      </c>
      <c r="C168" s="0" t="s">
        <v>178</v>
      </c>
      <c r="D168" s="0" t="s">
        <v>1759</v>
      </c>
      <c r="E168" s="0" t="s">
        <v>1635</v>
      </c>
      <c r="F168" s="0">
        <v>0</v>
      </c>
      <c r="G168" s="0">
        <v>2</v>
      </c>
      <c r="H168" s="0" t="s">
        <v>1760</v>
      </c>
      <c r="I168" s="0" t="s">
        <v>114</v>
      </c>
      <c r="J168" s="0" t="s">
        <v>114</v>
      </c>
      <c r="K168" s="0" t="s">
        <v>114</v>
      </c>
      <c r="L168" s="0" t="s">
        <v>114</v>
      </c>
      <c r="M168" s="0">
        <v>12</v>
      </c>
      <c r="N168" s="0">
        <v>49</v>
      </c>
      <c r="O168" s="0">
        <v>-520274</v>
      </c>
      <c r="P168" s="1">
        <f>=HYPERLINK("10.175.1.14\MWEB.12\ERR\EntityDetails.10.175.1.14.MWEB.12.weblogic.jdb.-520274.xlsx", "&lt;Detail&gt;")</f>
      </c>
      <c r="Q168" s="1">
        <f>=HYPERLINK("10.175.1.14\MWEB.12\ERR\MetricGraphs.ERR.10.175.1.14.MWEB.12.xlsx", "&lt;Metrics&gt;")</f>
      </c>
      <c r="R168" s="0" t="s">
        <v>101</v>
      </c>
      <c r="S168" s="0" t="s">
        <v>145</v>
      </c>
      <c r="T168" s="0" t="s">
        <v>179</v>
      </c>
      <c r="U168" s="0" t="s">
        <v>114</v>
      </c>
    </row>
    <row r="169">
      <c r="A169" s="0" t="s">
        <v>28</v>
      </c>
      <c r="B169" s="0" t="s">
        <v>30</v>
      </c>
      <c r="C169" s="0" t="s">
        <v>178</v>
      </c>
      <c r="D169" s="0" t="s">
        <v>1761</v>
      </c>
      <c r="E169" s="0" t="s">
        <v>1635</v>
      </c>
      <c r="F169" s="0">
        <v>0</v>
      </c>
      <c r="G169" s="0">
        <v>2</v>
      </c>
      <c r="H169" s="0" t="s">
        <v>1762</v>
      </c>
      <c r="I169" s="0" t="s">
        <v>114</v>
      </c>
      <c r="J169" s="0" t="s">
        <v>114</v>
      </c>
      <c r="K169" s="0" t="s">
        <v>114</v>
      </c>
      <c r="L169" s="0" t="s">
        <v>114</v>
      </c>
      <c r="M169" s="0">
        <v>12</v>
      </c>
      <c r="N169" s="0">
        <v>49</v>
      </c>
      <c r="O169" s="0">
        <v>-520238</v>
      </c>
      <c r="P169" s="1">
        <f>=HYPERLINK("10.175.1.14\MWEB.12\ERR\EntityDetails.10.175.1.14.MWEB.12.weblogic.jdb.-520238.xlsx", "&lt;Detail&gt;")</f>
      </c>
      <c r="Q169" s="1">
        <f>=HYPERLINK("10.175.1.14\MWEB.12\ERR\MetricGraphs.ERR.10.175.1.14.MWEB.12.xlsx", "&lt;Metrics&gt;")</f>
      </c>
      <c r="R169" s="0" t="s">
        <v>101</v>
      </c>
      <c r="S169" s="0" t="s">
        <v>145</v>
      </c>
      <c r="T169" s="0" t="s">
        <v>179</v>
      </c>
      <c r="U169" s="0" t="s">
        <v>114</v>
      </c>
    </row>
    <row r="170">
      <c r="A170" s="0" t="s">
        <v>28</v>
      </c>
      <c r="B170" s="0" t="s">
        <v>30</v>
      </c>
      <c r="C170" s="0" t="s">
        <v>180</v>
      </c>
      <c r="D170" s="0" t="s">
        <v>1636</v>
      </c>
      <c r="E170" s="0" t="s">
        <v>1635</v>
      </c>
      <c r="F170" s="0">
        <v>0</v>
      </c>
      <c r="G170" s="0">
        <v>4</v>
      </c>
      <c r="H170" s="0" t="s">
        <v>1637</v>
      </c>
      <c r="I170" s="0" t="s">
        <v>1638</v>
      </c>
      <c r="J170" s="0" t="s">
        <v>1639</v>
      </c>
      <c r="K170" s="0" t="s">
        <v>114</v>
      </c>
      <c r="L170" s="0" t="s">
        <v>114</v>
      </c>
      <c r="M170" s="0">
        <v>12</v>
      </c>
      <c r="N170" s="0">
        <v>50</v>
      </c>
      <c r="O170" s="0">
        <v>-516826</v>
      </c>
      <c r="P170" s="1">
        <f>=HYPERLINK("10.175.1.14\MWEB.12\ERR\EntityDetails.10.175.1.14.MWEB.12.com.mysql.cj.-516826.xlsx", "&lt;Detail&gt;")</f>
      </c>
      <c r="Q170" s="1">
        <f>=HYPERLINK("10.175.1.14\MWEB.12\ERR\MetricGraphs.ERR.10.175.1.14.MWEB.12.xlsx", "&lt;Metrics&gt;")</f>
      </c>
      <c r="R170" s="0" t="s">
        <v>101</v>
      </c>
      <c r="S170" s="0" t="s">
        <v>145</v>
      </c>
      <c r="T170" s="0" t="s">
        <v>181</v>
      </c>
      <c r="U170" s="0" t="s">
        <v>114</v>
      </c>
    </row>
    <row r="171">
      <c r="A171" s="0" t="s">
        <v>28</v>
      </c>
      <c r="B171" s="0" t="s">
        <v>30</v>
      </c>
      <c r="C171" s="0" t="s">
        <v>180</v>
      </c>
      <c r="D171" s="0" t="s">
        <v>1642</v>
      </c>
      <c r="E171" s="0" t="s">
        <v>1635</v>
      </c>
      <c r="F171" s="0">
        <v>0</v>
      </c>
      <c r="G171" s="0">
        <v>5</v>
      </c>
      <c r="H171" s="0" t="s">
        <v>1637</v>
      </c>
      <c r="I171" s="0" t="s">
        <v>1638</v>
      </c>
      <c r="J171" s="0" t="s">
        <v>1643</v>
      </c>
      <c r="K171" s="0" t="s">
        <v>1641</v>
      </c>
      <c r="L171" s="0" t="s">
        <v>114</v>
      </c>
      <c r="M171" s="0">
        <v>12</v>
      </c>
      <c r="N171" s="0">
        <v>50</v>
      </c>
      <c r="O171" s="0">
        <v>-517877</v>
      </c>
      <c r="P171" s="1">
        <f>=HYPERLINK("10.175.1.14\MWEB.12\ERR\EntityDetails.10.175.1.14.MWEB.12.com.mysql.cj.-517877.xlsx", "&lt;Detail&gt;")</f>
      </c>
      <c r="Q171" s="1">
        <f>=HYPERLINK("10.175.1.14\MWEB.12\ERR\MetricGraphs.ERR.10.175.1.14.MWEB.12.xlsx", "&lt;Metrics&gt;")</f>
      </c>
      <c r="R171" s="0" t="s">
        <v>101</v>
      </c>
      <c r="S171" s="0" t="s">
        <v>145</v>
      </c>
      <c r="T171" s="0" t="s">
        <v>181</v>
      </c>
      <c r="U171" s="0" t="s">
        <v>114</v>
      </c>
    </row>
    <row r="172">
      <c r="A172" s="0" t="s">
        <v>28</v>
      </c>
      <c r="B172" s="0" t="s">
        <v>30</v>
      </c>
      <c r="C172" s="0" t="s">
        <v>180</v>
      </c>
      <c r="D172" s="0" t="s">
        <v>1658</v>
      </c>
      <c r="E172" s="0" t="s">
        <v>1647</v>
      </c>
      <c r="F172" s="0">
        <v>500</v>
      </c>
      <c r="G172" s="0">
        <v>2</v>
      </c>
      <c r="H172" s="0" t="s">
        <v>1659</v>
      </c>
      <c r="I172" s="0" t="s">
        <v>1660</v>
      </c>
      <c r="J172" s="0" t="s">
        <v>114</v>
      </c>
      <c r="K172" s="0" t="s">
        <v>114</v>
      </c>
      <c r="L172" s="0" t="s">
        <v>114</v>
      </c>
      <c r="M172" s="0">
        <v>12</v>
      </c>
      <c r="N172" s="0">
        <v>50</v>
      </c>
      <c r="O172" s="0">
        <v>-516830</v>
      </c>
      <c r="P172" s="1">
        <f>=HYPERLINK("10.175.1.14\MWEB.12\ERR\EntityDetails.10.175.1.14.MWEB.12.Internal Ser.-516830.xlsx", "&lt;Detail&gt;")</f>
      </c>
      <c r="Q172" s="1">
        <f>=HYPERLINK("10.175.1.14\MWEB.12\ERR\MetricGraphs.ERR.10.175.1.14.MWEB.12.xlsx", "&lt;Metrics&gt;")</f>
      </c>
      <c r="R172" s="0" t="s">
        <v>101</v>
      </c>
      <c r="S172" s="0" t="s">
        <v>145</v>
      </c>
      <c r="T172" s="0" t="s">
        <v>181</v>
      </c>
      <c r="U172" s="0" t="s">
        <v>114</v>
      </c>
    </row>
    <row r="173">
      <c r="A173" s="0" t="s">
        <v>28</v>
      </c>
      <c r="B173" s="0" t="s">
        <v>30</v>
      </c>
      <c r="C173" s="0" t="s">
        <v>180</v>
      </c>
      <c r="D173" s="0" t="s">
        <v>1667</v>
      </c>
      <c r="E173" s="0" t="s">
        <v>1635</v>
      </c>
      <c r="F173" s="0">
        <v>0</v>
      </c>
      <c r="G173" s="0">
        <v>2</v>
      </c>
      <c r="H173" s="0" t="s">
        <v>1668</v>
      </c>
      <c r="I173" s="0" t="s">
        <v>114</v>
      </c>
      <c r="J173" s="0" t="s">
        <v>114</v>
      </c>
      <c r="K173" s="0" t="s">
        <v>114</v>
      </c>
      <c r="L173" s="0" t="s">
        <v>114</v>
      </c>
      <c r="M173" s="0">
        <v>12</v>
      </c>
      <c r="N173" s="0">
        <v>50</v>
      </c>
      <c r="O173" s="0">
        <v>-631571</v>
      </c>
      <c r="P173" s="1">
        <f>=HYPERLINK("10.175.1.14\MWEB.12\ERR\EntityDetails.10.175.1.14.MWEB.12.java.rmi.Con.-631571.xlsx", "&lt;Detail&gt;")</f>
      </c>
      <c r="Q173" s="1">
        <f>=HYPERLINK("10.175.1.14\MWEB.12\ERR\MetricGraphs.ERR.10.175.1.14.MWEB.12.xlsx", "&lt;Metrics&gt;")</f>
      </c>
      <c r="R173" s="0" t="s">
        <v>101</v>
      </c>
      <c r="S173" s="0" t="s">
        <v>145</v>
      </c>
      <c r="T173" s="0" t="s">
        <v>181</v>
      </c>
      <c r="U173" s="0" t="s">
        <v>114</v>
      </c>
    </row>
    <row r="174">
      <c r="A174" s="0" t="s">
        <v>28</v>
      </c>
      <c r="B174" s="0" t="s">
        <v>30</v>
      </c>
      <c r="C174" s="0" t="s">
        <v>180</v>
      </c>
      <c r="D174" s="0" t="s">
        <v>1669</v>
      </c>
      <c r="E174" s="0" t="s">
        <v>1635</v>
      </c>
      <c r="F174" s="0">
        <v>0</v>
      </c>
      <c r="G174" s="0">
        <v>3</v>
      </c>
      <c r="H174" s="0" t="s">
        <v>1668</v>
      </c>
      <c r="I174" s="0" t="s">
        <v>1668</v>
      </c>
      <c r="J174" s="0" t="s">
        <v>114</v>
      </c>
      <c r="K174" s="0" t="s">
        <v>114</v>
      </c>
      <c r="L174" s="0" t="s">
        <v>114</v>
      </c>
      <c r="M174" s="0">
        <v>12</v>
      </c>
      <c r="N174" s="0">
        <v>50</v>
      </c>
      <c r="O174" s="0">
        <v>-631573</v>
      </c>
      <c r="P174" s="1">
        <f>=HYPERLINK("10.175.1.14\MWEB.12\ERR\EntityDetails.10.175.1.14.MWEB.12.java.rmi.Con.-631573.xlsx", "&lt;Detail&gt;")</f>
      </c>
      <c r="Q174" s="1">
        <f>=HYPERLINK("10.175.1.14\MWEB.12\ERR\MetricGraphs.ERR.10.175.1.14.MWEB.12.xlsx", "&lt;Metrics&gt;")</f>
      </c>
      <c r="R174" s="0" t="s">
        <v>101</v>
      </c>
      <c r="S174" s="0" t="s">
        <v>145</v>
      </c>
      <c r="T174" s="0" t="s">
        <v>181</v>
      </c>
      <c r="U174" s="0" t="s">
        <v>114</v>
      </c>
    </row>
    <row r="175">
      <c r="A175" s="0" t="s">
        <v>28</v>
      </c>
      <c r="B175" s="0" t="s">
        <v>30</v>
      </c>
      <c r="C175" s="0" t="s">
        <v>180</v>
      </c>
      <c r="D175" s="0" t="s">
        <v>1726</v>
      </c>
      <c r="E175" s="0" t="s">
        <v>1635</v>
      </c>
      <c r="F175" s="0">
        <v>0</v>
      </c>
      <c r="G175" s="0">
        <v>2</v>
      </c>
      <c r="H175" s="0" t="s">
        <v>1727</v>
      </c>
      <c r="I175" s="0" t="s">
        <v>114</v>
      </c>
      <c r="J175" s="0" t="s">
        <v>114</v>
      </c>
      <c r="K175" s="0" t="s">
        <v>114</v>
      </c>
      <c r="L175" s="0" t="s">
        <v>114</v>
      </c>
      <c r="M175" s="0">
        <v>12</v>
      </c>
      <c r="N175" s="0">
        <v>50</v>
      </c>
      <c r="O175" s="0">
        <v>-520252</v>
      </c>
      <c r="P175" s="1">
        <f>=HYPERLINK("10.175.1.14\MWEB.12\ERR\EntityDetails.10.175.1.14.MWEB.12.java.sql.SQL.-520252.xlsx", "&lt;Detail&gt;")</f>
      </c>
      <c r="Q175" s="1">
        <f>=HYPERLINK("10.175.1.14\MWEB.12\ERR\MetricGraphs.ERR.10.175.1.14.MWEB.12.xlsx", "&lt;Metrics&gt;")</f>
      </c>
      <c r="R175" s="0" t="s">
        <v>101</v>
      </c>
      <c r="S175" s="0" t="s">
        <v>145</v>
      </c>
      <c r="T175" s="0" t="s">
        <v>181</v>
      </c>
      <c r="U175" s="0" t="s">
        <v>114</v>
      </c>
    </row>
    <row r="176">
      <c r="A176" s="0" t="s">
        <v>28</v>
      </c>
      <c r="B176" s="0" t="s">
        <v>30</v>
      </c>
      <c r="C176" s="0" t="s">
        <v>180</v>
      </c>
      <c r="D176" s="0" t="s">
        <v>1670</v>
      </c>
      <c r="E176" s="0" t="s">
        <v>1635</v>
      </c>
      <c r="F176" s="0">
        <v>0</v>
      </c>
      <c r="G176" s="0">
        <v>2</v>
      </c>
      <c r="H176" s="0" t="s">
        <v>1671</v>
      </c>
      <c r="I176" s="0" t="s">
        <v>114</v>
      </c>
      <c r="J176" s="0" t="s">
        <v>114</v>
      </c>
      <c r="K176" s="0" t="s">
        <v>114</v>
      </c>
      <c r="L176" s="0" t="s">
        <v>114</v>
      </c>
      <c r="M176" s="0">
        <v>12</v>
      </c>
      <c r="N176" s="0">
        <v>50</v>
      </c>
      <c r="O176" s="0">
        <v>-519376</v>
      </c>
      <c r="P176" s="1">
        <f>=HYPERLINK("10.175.1.14\MWEB.12\ERR\EntityDetails.10.175.1.14.MWEB.12.java.sql.SQL.-519376.xlsx", "&lt;Detail&gt;")</f>
      </c>
      <c r="Q176" s="1">
        <f>=HYPERLINK("10.175.1.14\MWEB.12\ERR\MetricGraphs.ERR.10.175.1.14.MWEB.12.xlsx", "&lt;Metrics&gt;")</f>
      </c>
      <c r="R176" s="0" t="s">
        <v>101</v>
      </c>
      <c r="S176" s="0" t="s">
        <v>145</v>
      </c>
      <c r="T176" s="0" t="s">
        <v>181</v>
      </c>
      <c r="U176" s="0" t="s">
        <v>114</v>
      </c>
    </row>
    <row r="177">
      <c r="A177" s="0" t="s">
        <v>28</v>
      </c>
      <c r="B177" s="0" t="s">
        <v>30</v>
      </c>
      <c r="C177" s="0" t="s">
        <v>180</v>
      </c>
      <c r="D177" s="0" t="s">
        <v>1672</v>
      </c>
      <c r="E177" s="0" t="s">
        <v>1635</v>
      </c>
      <c r="F177" s="0">
        <v>0</v>
      </c>
      <c r="G177" s="0">
        <v>2</v>
      </c>
      <c r="H177" s="0" t="s">
        <v>1673</v>
      </c>
      <c r="I177" s="0" t="s">
        <v>114</v>
      </c>
      <c r="J177" s="0" t="s">
        <v>114</v>
      </c>
      <c r="K177" s="0" t="s">
        <v>114</v>
      </c>
      <c r="L177" s="0" t="s">
        <v>114</v>
      </c>
      <c r="M177" s="0">
        <v>12</v>
      </c>
      <c r="N177" s="0">
        <v>50</v>
      </c>
      <c r="O177" s="0">
        <v>-518310</v>
      </c>
      <c r="P177" s="1">
        <f>=HYPERLINK("10.175.1.14\MWEB.12\ERR\EntityDetails.10.175.1.14.MWEB.12.java.sql.SQL.-518310.xlsx", "&lt;Detail&gt;")</f>
      </c>
      <c r="Q177" s="1">
        <f>=HYPERLINK("10.175.1.14\MWEB.12\ERR\MetricGraphs.ERR.10.175.1.14.MWEB.12.xlsx", "&lt;Metrics&gt;")</f>
      </c>
      <c r="R177" s="0" t="s">
        <v>101</v>
      </c>
      <c r="S177" s="0" t="s">
        <v>145</v>
      </c>
      <c r="T177" s="0" t="s">
        <v>181</v>
      </c>
      <c r="U177" s="0" t="s">
        <v>114</v>
      </c>
    </row>
    <row r="178">
      <c r="A178" s="0" t="s">
        <v>28</v>
      </c>
      <c r="B178" s="0" t="s">
        <v>30</v>
      </c>
      <c r="C178" s="0" t="s">
        <v>180</v>
      </c>
      <c r="D178" s="0" t="s">
        <v>1677</v>
      </c>
      <c r="E178" s="0" t="s">
        <v>1647</v>
      </c>
      <c r="F178" s="0">
        <v>404</v>
      </c>
      <c r="G178" s="0">
        <v>2</v>
      </c>
      <c r="H178" s="0" t="s">
        <v>1678</v>
      </c>
      <c r="I178" s="0" t="s">
        <v>1679</v>
      </c>
      <c r="J178" s="0" t="s">
        <v>114</v>
      </c>
      <c r="K178" s="0" t="s">
        <v>114</v>
      </c>
      <c r="L178" s="0" t="s">
        <v>114</v>
      </c>
      <c r="M178" s="0">
        <v>12</v>
      </c>
      <c r="N178" s="0">
        <v>50</v>
      </c>
      <c r="O178" s="0">
        <v>-517891</v>
      </c>
      <c r="P178" s="1">
        <f>=HYPERLINK("10.175.1.14\MWEB.12\ERR\EntityDetails.10.175.1.14.MWEB.12.Page Not Fou.-517891.xlsx", "&lt;Detail&gt;")</f>
      </c>
      <c r="Q178" s="1">
        <f>=HYPERLINK("10.175.1.14\MWEB.12\ERR\MetricGraphs.ERR.10.175.1.14.MWEB.12.xlsx", "&lt;Metrics&gt;")</f>
      </c>
      <c r="R178" s="0" t="s">
        <v>101</v>
      </c>
      <c r="S178" s="0" t="s">
        <v>145</v>
      </c>
      <c r="T178" s="0" t="s">
        <v>181</v>
      </c>
      <c r="U178" s="0" t="s">
        <v>114</v>
      </c>
    </row>
    <row r="179">
      <c r="A179" s="0" t="s">
        <v>28</v>
      </c>
      <c r="B179" s="0" t="s">
        <v>30</v>
      </c>
      <c r="C179" s="0" t="s">
        <v>180</v>
      </c>
      <c r="D179" s="0" t="s">
        <v>1687</v>
      </c>
      <c r="E179" s="0" t="s">
        <v>1635</v>
      </c>
      <c r="F179" s="0">
        <v>0</v>
      </c>
      <c r="G179" s="0">
        <v>2</v>
      </c>
      <c r="H179" s="0" t="s">
        <v>1688</v>
      </c>
      <c r="I179" s="0" t="s">
        <v>114</v>
      </c>
      <c r="J179" s="0" t="s">
        <v>114</v>
      </c>
      <c r="K179" s="0" t="s">
        <v>114</v>
      </c>
      <c r="L179" s="0" t="s">
        <v>114</v>
      </c>
      <c r="M179" s="0">
        <v>12</v>
      </c>
      <c r="N179" s="0">
        <v>50</v>
      </c>
      <c r="O179" s="0">
        <v>-520244</v>
      </c>
      <c r="P179" s="1">
        <f>=HYPERLINK("10.175.1.14\MWEB.12\ERR\EntityDetails.10.175.1.14.MWEB.12.weblogic.jdb.-520244.xlsx", "&lt;Detail&gt;")</f>
      </c>
      <c r="Q179" s="1">
        <f>=HYPERLINK("10.175.1.14\MWEB.12\ERR\MetricGraphs.ERR.10.175.1.14.MWEB.12.xlsx", "&lt;Metrics&gt;")</f>
      </c>
      <c r="R179" s="0" t="s">
        <v>101</v>
      </c>
      <c r="S179" s="0" t="s">
        <v>145</v>
      </c>
      <c r="T179" s="0" t="s">
        <v>181</v>
      </c>
      <c r="U179" s="0" t="s">
        <v>114</v>
      </c>
    </row>
    <row r="180">
      <c r="A180" s="0" t="s">
        <v>28</v>
      </c>
      <c r="B180" s="0" t="s">
        <v>30</v>
      </c>
      <c r="C180" s="0" t="s">
        <v>180</v>
      </c>
      <c r="D180" s="0" t="s">
        <v>1759</v>
      </c>
      <c r="E180" s="0" t="s">
        <v>1635</v>
      </c>
      <c r="F180" s="0">
        <v>0</v>
      </c>
      <c r="G180" s="0">
        <v>2</v>
      </c>
      <c r="H180" s="0" t="s">
        <v>1760</v>
      </c>
      <c r="I180" s="0" t="s">
        <v>114</v>
      </c>
      <c r="J180" s="0" t="s">
        <v>114</v>
      </c>
      <c r="K180" s="0" t="s">
        <v>114</v>
      </c>
      <c r="L180" s="0" t="s">
        <v>114</v>
      </c>
      <c r="M180" s="0">
        <v>12</v>
      </c>
      <c r="N180" s="0">
        <v>50</v>
      </c>
      <c r="O180" s="0">
        <v>-520270</v>
      </c>
      <c r="P180" s="1">
        <f>=HYPERLINK("10.175.1.14\MWEB.12\ERR\EntityDetails.10.175.1.14.MWEB.12.weblogic.jdb.-520270.xlsx", "&lt;Detail&gt;")</f>
      </c>
      <c r="Q180" s="1">
        <f>=HYPERLINK("10.175.1.14\MWEB.12\ERR\MetricGraphs.ERR.10.175.1.14.MWEB.12.xlsx", "&lt;Metrics&gt;")</f>
      </c>
      <c r="R180" s="0" t="s">
        <v>101</v>
      </c>
      <c r="S180" s="0" t="s">
        <v>145</v>
      </c>
      <c r="T180" s="0" t="s">
        <v>181</v>
      </c>
      <c r="U180" s="0" t="s">
        <v>114</v>
      </c>
    </row>
    <row r="181">
      <c r="A181" s="0" t="s">
        <v>28</v>
      </c>
      <c r="B181" s="0" t="s">
        <v>30</v>
      </c>
      <c r="C181" s="0" t="s">
        <v>180</v>
      </c>
      <c r="D181" s="0" t="s">
        <v>1761</v>
      </c>
      <c r="E181" s="0" t="s">
        <v>1635</v>
      </c>
      <c r="F181" s="0">
        <v>0</v>
      </c>
      <c r="G181" s="0">
        <v>2</v>
      </c>
      <c r="H181" s="0" t="s">
        <v>1762</v>
      </c>
      <c r="I181" s="0" t="s">
        <v>114</v>
      </c>
      <c r="J181" s="0" t="s">
        <v>114</v>
      </c>
      <c r="K181" s="0" t="s">
        <v>114</v>
      </c>
      <c r="L181" s="0" t="s">
        <v>114</v>
      </c>
      <c r="M181" s="0">
        <v>12</v>
      </c>
      <c r="N181" s="0">
        <v>50</v>
      </c>
      <c r="O181" s="0">
        <v>-520233</v>
      </c>
      <c r="P181" s="1">
        <f>=HYPERLINK("10.175.1.14\MWEB.12\ERR\EntityDetails.10.175.1.14.MWEB.12.weblogic.jdb.-520233.xlsx", "&lt;Detail&gt;")</f>
      </c>
      <c r="Q181" s="1">
        <f>=HYPERLINK("10.175.1.14\MWEB.12\ERR\MetricGraphs.ERR.10.175.1.14.MWEB.12.xlsx", "&lt;Metrics&gt;")</f>
      </c>
      <c r="R181" s="0" t="s">
        <v>101</v>
      </c>
      <c r="S181" s="0" t="s">
        <v>145</v>
      </c>
      <c r="T181" s="0" t="s">
        <v>181</v>
      </c>
      <c r="U181" s="0" t="s">
        <v>114</v>
      </c>
    </row>
    <row r="182">
      <c r="A182" s="0" t="s">
        <v>28</v>
      </c>
      <c r="B182" s="0" t="s">
        <v>30</v>
      </c>
      <c r="C182" s="0" t="s">
        <v>182</v>
      </c>
      <c r="D182" s="0" t="s">
        <v>1667</v>
      </c>
      <c r="E182" s="0" t="s">
        <v>1635</v>
      </c>
      <c r="F182" s="0">
        <v>0</v>
      </c>
      <c r="G182" s="0">
        <v>2</v>
      </c>
      <c r="H182" s="0" t="s">
        <v>1668</v>
      </c>
      <c r="I182" s="0" t="s">
        <v>114</v>
      </c>
      <c r="J182" s="0" t="s">
        <v>114</v>
      </c>
      <c r="K182" s="0" t="s">
        <v>114</v>
      </c>
      <c r="L182" s="0" t="s">
        <v>114</v>
      </c>
      <c r="M182" s="0">
        <v>12</v>
      </c>
      <c r="N182" s="0">
        <v>52</v>
      </c>
      <c r="O182" s="0">
        <v>-631617</v>
      </c>
      <c r="P182" s="1">
        <f>=HYPERLINK("10.175.1.14\MWEB.12\ERR\EntityDetails.10.175.1.14.MWEB.12.java.rmi.Con.-631617.xlsx", "&lt;Detail&gt;")</f>
      </c>
      <c r="Q182" s="1">
        <f>=HYPERLINK("10.175.1.14\MWEB.12\ERR\MetricGraphs.ERR.10.175.1.14.MWEB.12.xlsx", "&lt;Metrics&gt;")</f>
      </c>
      <c r="R182" s="0" t="s">
        <v>101</v>
      </c>
      <c r="S182" s="0" t="s">
        <v>145</v>
      </c>
      <c r="T182" s="0" t="s">
        <v>183</v>
      </c>
      <c r="U182" s="0" t="s">
        <v>114</v>
      </c>
    </row>
    <row r="183">
      <c r="A183" s="0" t="s">
        <v>28</v>
      </c>
      <c r="B183" s="0" t="s">
        <v>30</v>
      </c>
      <c r="C183" s="0" t="s">
        <v>182</v>
      </c>
      <c r="D183" s="0" t="s">
        <v>1669</v>
      </c>
      <c r="E183" s="0" t="s">
        <v>1635</v>
      </c>
      <c r="F183" s="0">
        <v>0</v>
      </c>
      <c r="G183" s="0">
        <v>3</v>
      </c>
      <c r="H183" s="0" t="s">
        <v>1668</v>
      </c>
      <c r="I183" s="0" t="s">
        <v>1668</v>
      </c>
      <c r="J183" s="0" t="s">
        <v>114</v>
      </c>
      <c r="K183" s="0" t="s">
        <v>114</v>
      </c>
      <c r="L183" s="0" t="s">
        <v>114</v>
      </c>
      <c r="M183" s="0">
        <v>12</v>
      </c>
      <c r="N183" s="0">
        <v>52</v>
      </c>
      <c r="O183" s="0">
        <v>-631619</v>
      </c>
      <c r="P183" s="1">
        <f>=HYPERLINK("10.175.1.14\MWEB.12\ERR\EntityDetails.10.175.1.14.MWEB.12.java.rmi.Con.-631619.xlsx", "&lt;Detail&gt;")</f>
      </c>
      <c r="Q183" s="1">
        <f>=HYPERLINK("10.175.1.14\MWEB.12\ERR\MetricGraphs.ERR.10.175.1.14.MWEB.12.xlsx", "&lt;Metrics&gt;")</f>
      </c>
      <c r="R183" s="0" t="s">
        <v>101</v>
      </c>
      <c r="S183" s="0" t="s">
        <v>145</v>
      </c>
      <c r="T183" s="0" t="s">
        <v>183</v>
      </c>
      <c r="U183" s="0" t="s">
        <v>114</v>
      </c>
    </row>
    <row r="184">
      <c r="A184" s="0" t="s">
        <v>28</v>
      </c>
      <c r="B184" s="0" t="s">
        <v>30</v>
      </c>
      <c r="C184" s="0" t="s">
        <v>184</v>
      </c>
      <c r="D184" s="0" t="s">
        <v>1636</v>
      </c>
      <c r="E184" s="0" t="s">
        <v>1635</v>
      </c>
      <c r="F184" s="0">
        <v>0</v>
      </c>
      <c r="G184" s="0">
        <v>4</v>
      </c>
      <c r="H184" s="0" t="s">
        <v>1637</v>
      </c>
      <c r="I184" s="0" t="s">
        <v>1638</v>
      </c>
      <c r="J184" s="0" t="s">
        <v>1639</v>
      </c>
      <c r="K184" s="0" t="s">
        <v>114</v>
      </c>
      <c r="L184" s="0" t="s">
        <v>114</v>
      </c>
      <c r="M184" s="0">
        <v>12</v>
      </c>
      <c r="N184" s="0">
        <v>51</v>
      </c>
      <c r="O184" s="0">
        <v>-517802</v>
      </c>
      <c r="P184" s="1">
        <f>=HYPERLINK("10.175.1.14\MWEB.12\ERR\EntityDetails.10.175.1.14.MWEB.12.com.mysql.cj.-517802.xlsx", "&lt;Detail&gt;")</f>
      </c>
      <c r="Q184" s="1">
        <f>=HYPERLINK("10.175.1.14\MWEB.12\ERR\MetricGraphs.ERR.10.175.1.14.MWEB.12.xlsx", "&lt;Metrics&gt;")</f>
      </c>
      <c r="R184" s="0" t="s">
        <v>101</v>
      </c>
      <c r="S184" s="0" t="s">
        <v>145</v>
      </c>
      <c r="T184" s="0" t="s">
        <v>185</v>
      </c>
      <c r="U184" s="0" t="s">
        <v>114</v>
      </c>
    </row>
    <row r="185">
      <c r="A185" s="0" t="s">
        <v>28</v>
      </c>
      <c r="B185" s="0" t="s">
        <v>30</v>
      </c>
      <c r="C185" s="0" t="s">
        <v>184</v>
      </c>
      <c r="D185" s="0" t="s">
        <v>1642</v>
      </c>
      <c r="E185" s="0" t="s">
        <v>1635</v>
      </c>
      <c r="F185" s="0">
        <v>0</v>
      </c>
      <c r="G185" s="0">
        <v>5</v>
      </c>
      <c r="H185" s="0" t="s">
        <v>1637</v>
      </c>
      <c r="I185" s="0" t="s">
        <v>1638</v>
      </c>
      <c r="J185" s="0" t="s">
        <v>1643</v>
      </c>
      <c r="K185" s="0" t="s">
        <v>1641</v>
      </c>
      <c r="L185" s="0" t="s">
        <v>114</v>
      </c>
      <c r="M185" s="0">
        <v>12</v>
      </c>
      <c r="N185" s="0">
        <v>51</v>
      </c>
      <c r="O185" s="0">
        <v>-517881</v>
      </c>
      <c r="P185" s="1">
        <f>=HYPERLINK("10.175.1.14\MWEB.12\ERR\EntityDetails.10.175.1.14.MWEB.12.com.mysql.cj.-517881.xlsx", "&lt;Detail&gt;")</f>
      </c>
      <c r="Q185" s="1">
        <f>=HYPERLINK("10.175.1.14\MWEB.12\ERR\MetricGraphs.ERR.10.175.1.14.MWEB.12.xlsx", "&lt;Metrics&gt;")</f>
      </c>
      <c r="R185" s="0" t="s">
        <v>101</v>
      </c>
      <c r="S185" s="0" t="s">
        <v>145</v>
      </c>
      <c r="T185" s="0" t="s">
        <v>185</v>
      </c>
      <c r="U185" s="0" t="s">
        <v>114</v>
      </c>
    </row>
    <row r="186">
      <c r="A186" s="0" t="s">
        <v>28</v>
      </c>
      <c r="B186" s="0" t="s">
        <v>30</v>
      </c>
      <c r="C186" s="0" t="s">
        <v>184</v>
      </c>
      <c r="D186" s="0" t="s">
        <v>1658</v>
      </c>
      <c r="E186" s="0" t="s">
        <v>1647</v>
      </c>
      <c r="F186" s="0">
        <v>500</v>
      </c>
      <c r="G186" s="0">
        <v>2</v>
      </c>
      <c r="H186" s="0" t="s">
        <v>1659</v>
      </c>
      <c r="I186" s="0" t="s">
        <v>1660</v>
      </c>
      <c r="J186" s="0" t="s">
        <v>114</v>
      </c>
      <c r="K186" s="0" t="s">
        <v>114</v>
      </c>
      <c r="L186" s="0" t="s">
        <v>114</v>
      </c>
      <c r="M186" s="0">
        <v>12</v>
      </c>
      <c r="N186" s="0">
        <v>51</v>
      </c>
      <c r="O186" s="0">
        <v>-517806</v>
      </c>
      <c r="P186" s="1">
        <f>=HYPERLINK("10.175.1.14\MWEB.12\ERR\EntityDetails.10.175.1.14.MWEB.12.Internal Ser.-517806.xlsx", "&lt;Detail&gt;")</f>
      </c>
      <c r="Q186" s="1">
        <f>=HYPERLINK("10.175.1.14\MWEB.12\ERR\MetricGraphs.ERR.10.175.1.14.MWEB.12.xlsx", "&lt;Metrics&gt;")</f>
      </c>
      <c r="R186" s="0" t="s">
        <v>101</v>
      </c>
      <c r="S186" s="0" t="s">
        <v>145</v>
      </c>
      <c r="T186" s="0" t="s">
        <v>185</v>
      </c>
      <c r="U186" s="0" t="s">
        <v>114</v>
      </c>
    </row>
    <row r="187">
      <c r="A187" s="0" t="s">
        <v>28</v>
      </c>
      <c r="B187" s="0" t="s">
        <v>30</v>
      </c>
      <c r="C187" s="0" t="s">
        <v>184</v>
      </c>
      <c r="D187" s="0" t="s">
        <v>1667</v>
      </c>
      <c r="E187" s="0" t="s">
        <v>1635</v>
      </c>
      <c r="F187" s="0">
        <v>0</v>
      </c>
      <c r="G187" s="0">
        <v>2</v>
      </c>
      <c r="H187" s="0" t="s">
        <v>1668</v>
      </c>
      <c r="I187" s="0" t="s">
        <v>114</v>
      </c>
      <c r="J187" s="0" t="s">
        <v>114</v>
      </c>
      <c r="K187" s="0" t="s">
        <v>114</v>
      </c>
      <c r="L187" s="0" t="s">
        <v>114</v>
      </c>
      <c r="M187" s="0">
        <v>12</v>
      </c>
      <c r="N187" s="0">
        <v>51</v>
      </c>
      <c r="O187" s="0">
        <v>-631626</v>
      </c>
      <c r="P187" s="1">
        <f>=HYPERLINK("10.175.1.14\MWEB.12\ERR\EntityDetails.10.175.1.14.MWEB.12.java.rmi.Con.-631626.xlsx", "&lt;Detail&gt;")</f>
      </c>
      <c r="Q187" s="1">
        <f>=HYPERLINK("10.175.1.14\MWEB.12\ERR\MetricGraphs.ERR.10.175.1.14.MWEB.12.xlsx", "&lt;Metrics&gt;")</f>
      </c>
      <c r="R187" s="0" t="s">
        <v>101</v>
      </c>
      <c r="S187" s="0" t="s">
        <v>145</v>
      </c>
      <c r="T187" s="0" t="s">
        <v>185</v>
      </c>
      <c r="U187" s="0" t="s">
        <v>114</v>
      </c>
    </row>
    <row r="188">
      <c r="A188" s="0" t="s">
        <v>28</v>
      </c>
      <c r="B188" s="0" t="s">
        <v>30</v>
      </c>
      <c r="C188" s="0" t="s">
        <v>184</v>
      </c>
      <c r="D188" s="0" t="s">
        <v>1669</v>
      </c>
      <c r="E188" s="0" t="s">
        <v>1635</v>
      </c>
      <c r="F188" s="0">
        <v>0</v>
      </c>
      <c r="G188" s="0">
        <v>3</v>
      </c>
      <c r="H188" s="0" t="s">
        <v>1668</v>
      </c>
      <c r="I188" s="0" t="s">
        <v>1668</v>
      </c>
      <c r="J188" s="0" t="s">
        <v>114</v>
      </c>
      <c r="K188" s="0" t="s">
        <v>114</v>
      </c>
      <c r="L188" s="0" t="s">
        <v>114</v>
      </c>
      <c r="M188" s="0">
        <v>12</v>
      </c>
      <c r="N188" s="0">
        <v>51</v>
      </c>
      <c r="O188" s="0">
        <v>-631624</v>
      </c>
      <c r="P188" s="1">
        <f>=HYPERLINK("10.175.1.14\MWEB.12\ERR\EntityDetails.10.175.1.14.MWEB.12.java.rmi.Con.-631624.xlsx", "&lt;Detail&gt;")</f>
      </c>
      <c r="Q188" s="1">
        <f>=HYPERLINK("10.175.1.14\MWEB.12\ERR\MetricGraphs.ERR.10.175.1.14.MWEB.12.xlsx", "&lt;Metrics&gt;")</f>
      </c>
      <c r="R188" s="0" t="s">
        <v>101</v>
      </c>
      <c r="S188" s="0" t="s">
        <v>145</v>
      </c>
      <c r="T188" s="0" t="s">
        <v>185</v>
      </c>
      <c r="U188" s="0" t="s">
        <v>114</v>
      </c>
    </row>
    <row r="189">
      <c r="A189" s="0" t="s">
        <v>28</v>
      </c>
      <c r="B189" s="0" t="s">
        <v>30</v>
      </c>
      <c r="C189" s="0" t="s">
        <v>184</v>
      </c>
      <c r="D189" s="0" t="s">
        <v>1726</v>
      </c>
      <c r="E189" s="0" t="s">
        <v>1635</v>
      </c>
      <c r="F189" s="0">
        <v>0</v>
      </c>
      <c r="G189" s="0">
        <v>2</v>
      </c>
      <c r="H189" s="0" t="s">
        <v>1727</v>
      </c>
      <c r="I189" s="0" t="s">
        <v>114</v>
      </c>
      <c r="J189" s="0" t="s">
        <v>114</v>
      </c>
      <c r="K189" s="0" t="s">
        <v>114</v>
      </c>
      <c r="L189" s="0" t="s">
        <v>114</v>
      </c>
      <c r="M189" s="0">
        <v>12</v>
      </c>
      <c r="N189" s="0">
        <v>51</v>
      </c>
      <c r="O189" s="0">
        <v>-520268</v>
      </c>
      <c r="P189" s="1">
        <f>=HYPERLINK("10.175.1.14\MWEB.12\ERR\EntityDetails.10.175.1.14.MWEB.12.java.sql.SQL.-520268.xlsx", "&lt;Detail&gt;")</f>
      </c>
      <c r="Q189" s="1">
        <f>=HYPERLINK("10.175.1.14\MWEB.12\ERR\MetricGraphs.ERR.10.175.1.14.MWEB.12.xlsx", "&lt;Metrics&gt;")</f>
      </c>
      <c r="R189" s="0" t="s">
        <v>101</v>
      </c>
      <c r="S189" s="0" t="s">
        <v>145</v>
      </c>
      <c r="T189" s="0" t="s">
        <v>185</v>
      </c>
      <c r="U189" s="0" t="s">
        <v>114</v>
      </c>
    </row>
    <row r="190">
      <c r="A190" s="0" t="s">
        <v>28</v>
      </c>
      <c r="B190" s="0" t="s">
        <v>30</v>
      </c>
      <c r="C190" s="0" t="s">
        <v>184</v>
      </c>
      <c r="D190" s="0" t="s">
        <v>1677</v>
      </c>
      <c r="E190" s="0" t="s">
        <v>1647</v>
      </c>
      <c r="F190" s="0">
        <v>404</v>
      </c>
      <c r="G190" s="0">
        <v>2</v>
      </c>
      <c r="H190" s="0" t="s">
        <v>1678</v>
      </c>
      <c r="I190" s="0" t="s">
        <v>1679</v>
      </c>
      <c r="J190" s="0" t="s">
        <v>114</v>
      </c>
      <c r="K190" s="0" t="s">
        <v>114</v>
      </c>
      <c r="L190" s="0" t="s">
        <v>114</v>
      </c>
      <c r="M190" s="0">
        <v>12</v>
      </c>
      <c r="N190" s="0">
        <v>51</v>
      </c>
      <c r="O190" s="0">
        <v>-517893</v>
      </c>
      <c r="P190" s="1">
        <f>=HYPERLINK("10.175.1.14\MWEB.12\ERR\EntityDetails.10.175.1.14.MWEB.12.Page Not Fou.-517893.xlsx", "&lt;Detail&gt;")</f>
      </c>
      <c r="Q190" s="1">
        <f>=HYPERLINK("10.175.1.14\MWEB.12\ERR\MetricGraphs.ERR.10.175.1.14.MWEB.12.xlsx", "&lt;Metrics&gt;")</f>
      </c>
      <c r="R190" s="0" t="s">
        <v>101</v>
      </c>
      <c r="S190" s="0" t="s">
        <v>145</v>
      </c>
      <c r="T190" s="0" t="s">
        <v>185</v>
      </c>
      <c r="U190" s="0" t="s">
        <v>114</v>
      </c>
    </row>
    <row r="191">
      <c r="A191" s="0" t="s">
        <v>28</v>
      </c>
      <c r="B191" s="0" t="s">
        <v>30</v>
      </c>
      <c r="C191" s="0" t="s">
        <v>184</v>
      </c>
      <c r="D191" s="0" t="s">
        <v>1687</v>
      </c>
      <c r="E191" s="0" t="s">
        <v>1635</v>
      </c>
      <c r="F191" s="0">
        <v>0</v>
      </c>
      <c r="G191" s="0">
        <v>2</v>
      </c>
      <c r="H191" s="0" t="s">
        <v>1688</v>
      </c>
      <c r="I191" s="0" t="s">
        <v>114</v>
      </c>
      <c r="J191" s="0" t="s">
        <v>114</v>
      </c>
      <c r="K191" s="0" t="s">
        <v>114</v>
      </c>
      <c r="L191" s="0" t="s">
        <v>114</v>
      </c>
      <c r="M191" s="0">
        <v>12</v>
      </c>
      <c r="N191" s="0">
        <v>51</v>
      </c>
      <c r="O191" s="0">
        <v>-520280</v>
      </c>
      <c r="P191" s="1">
        <f>=HYPERLINK("10.175.1.14\MWEB.12\ERR\EntityDetails.10.175.1.14.MWEB.12.weblogic.jdb.-520280.xlsx", "&lt;Detail&gt;")</f>
      </c>
      <c r="Q191" s="1">
        <f>=HYPERLINK("10.175.1.14\MWEB.12\ERR\MetricGraphs.ERR.10.175.1.14.MWEB.12.xlsx", "&lt;Metrics&gt;")</f>
      </c>
      <c r="R191" s="0" t="s">
        <v>101</v>
      </c>
      <c r="S191" s="0" t="s">
        <v>145</v>
      </c>
      <c r="T191" s="0" t="s">
        <v>185</v>
      </c>
      <c r="U191" s="0" t="s">
        <v>114</v>
      </c>
    </row>
    <row r="192">
      <c r="A192" s="0" t="s">
        <v>28</v>
      </c>
      <c r="B192" s="0" t="s">
        <v>30</v>
      </c>
      <c r="C192" s="0" t="s">
        <v>184</v>
      </c>
      <c r="D192" s="0" t="s">
        <v>1759</v>
      </c>
      <c r="E192" s="0" t="s">
        <v>1635</v>
      </c>
      <c r="F192" s="0">
        <v>0</v>
      </c>
      <c r="G192" s="0">
        <v>2</v>
      </c>
      <c r="H192" s="0" t="s">
        <v>1760</v>
      </c>
      <c r="I192" s="0" t="s">
        <v>114</v>
      </c>
      <c r="J192" s="0" t="s">
        <v>114</v>
      </c>
      <c r="K192" s="0" t="s">
        <v>114</v>
      </c>
      <c r="L192" s="0" t="s">
        <v>114</v>
      </c>
      <c r="M192" s="0">
        <v>12</v>
      </c>
      <c r="N192" s="0">
        <v>51</v>
      </c>
      <c r="O192" s="0">
        <v>-520278</v>
      </c>
      <c r="P192" s="1">
        <f>=HYPERLINK("10.175.1.14\MWEB.12\ERR\EntityDetails.10.175.1.14.MWEB.12.weblogic.jdb.-520278.xlsx", "&lt;Detail&gt;")</f>
      </c>
      <c r="Q192" s="1">
        <f>=HYPERLINK("10.175.1.14\MWEB.12\ERR\MetricGraphs.ERR.10.175.1.14.MWEB.12.xlsx", "&lt;Metrics&gt;")</f>
      </c>
      <c r="R192" s="0" t="s">
        <v>101</v>
      </c>
      <c r="S192" s="0" t="s">
        <v>145</v>
      </c>
      <c r="T192" s="0" t="s">
        <v>185</v>
      </c>
      <c r="U192" s="0" t="s">
        <v>114</v>
      </c>
    </row>
    <row r="193">
      <c r="A193" s="0" t="s">
        <v>28</v>
      </c>
      <c r="B193" s="0" t="s">
        <v>30</v>
      </c>
      <c r="C193" s="0" t="s">
        <v>184</v>
      </c>
      <c r="D193" s="0" t="s">
        <v>1761</v>
      </c>
      <c r="E193" s="0" t="s">
        <v>1635</v>
      </c>
      <c r="F193" s="0">
        <v>0</v>
      </c>
      <c r="G193" s="0">
        <v>2</v>
      </c>
      <c r="H193" s="0" t="s">
        <v>1762</v>
      </c>
      <c r="I193" s="0" t="s">
        <v>114</v>
      </c>
      <c r="J193" s="0" t="s">
        <v>114</v>
      </c>
      <c r="K193" s="0" t="s">
        <v>114</v>
      </c>
      <c r="L193" s="0" t="s">
        <v>114</v>
      </c>
      <c r="M193" s="0">
        <v>12</v>
      </c>
      <c r="N193" s="0">
        <v>51</v>
      </c>
      <c r="O193" s="0">
        <v>-520242</v>
      </c>
      <c r="P193" s="1">
        <f>=HYPERLINK("10.175.1.14\MWEB.12\ERR\EntityDetails.10.175.1.14.MWEB.12.weblogic.jdb.-520242.xlsx", "&lt;Detail&gt;")</f>
      </c>
      <c r="Q193" s="1">
        <f>=HYPERLINK("10.175.1.14\MWEB.12\ERR\MetricGraphs.ERR.10.175.1.14.MWEB.12.xlsx", "&lt;Metrics&gt;")</f>
      </c>
      <c r="R193" s="0" t="s">
        <v>101</v>
      </c>
      <c r="S193" s="0" t="s">
        <v>145</v>
      </c>
      <c r="T193" s="0" t="s">
        <v>185</v>
      </c>
      <c r="U193" s="0" t="s">
        <v>114</v>
      </c>
    </row>
    <row r="194">
      <c r="A194" s="0" t="s">
        <v>28</v>
      </c>
      <c r="B194" s="0" t="s">
        <v>30</v>
      </c>
      <c r="C194" s="0" t="s">
        <v>186</v>
      </c>
      <c r="D194" s="0" t="s">
        <v>1636</v>
      </c>
      <c r="E194" s="0" t="s">
        <v>1635</v>
      </c>
      <c r="F194" s="0">
        <v>0</v>
      </c>
      <c r="G194" s="0">
        <v>4</v>
      </c>
      <c r="H194" s="0" t="s">
        <v>1637</v>
      </c>
      <c r="I194" s="0" t="s">
        <v>1638</v>
      </c>
      <c r="J194" s="0" t="s">
        <v>1639</v>
      </c>
      <c r="K194" s="0" t="s">
        <v>114</v>
      </c>
      <c r="L194" s="0" t="s">
        <v>114</v>
      </c>
      <c r="M194" s="0">
        <v>12</v>
      </c>
      <c r="N194" s="0">
        <v>54</v>
      </c>
      <c r="O194" s="0">
        <v>-517791</v>
      </c>
      <c r="P194" s="1">
        <f>=HYPERLINK("10.175.1.14\MWEB.12\ERR\EntityDetails.10.175.1.14.MWEB.12.com.mysql.cj.-517791.xlsx", "&lt;Detail&gt;")</f>
      </c>
      <c r="Q194" s="1">
        <f>=HYPERLINK("10.175.1.14\MWEB.12\ERR\MetricGraphs.ERR.10.175.1.14.MWEB.12.xlsx", "&lt;Metrics&gt;")</f>
      </c>
      <c r="R194" s="0" t="s">
        <v>101</v>
      </c>
      <c r="S194" s="0" t="s">
        <v>145</v>
      </c>
      <c r="T194" s="0" t="s">
        <v>187</v>
      </c>
      <c r="U194" s="0" t="s">
        <v>114</v>
      </c>
    </row>
    <row r="195">
      <c r="A195" s="0" t="s">
        <v>28</v>
      </c>
      <c r="B195" s="0" t="s">
        <v>30</v>
      </c>
      <c r="C195" s="0" t="s">
        <v>186</v>
      </c>
      <c r="D195" s="0" t="s">
        <v>1642</v>
      </c>
      <c r="E195" s="0" t="s">
        <v>1635</v>
      </c>
      <c r="F195" s="0">
        <v>0</v>
      </c>
      <c r="G195" s="0">
        <v>5</v>
      </c>
      <c r="H195" s="0" t="s">
        <v>1637</v>
      </c>
      <c r="I195" s="0" t="s">
        <v>1638</v>
      </c>
      <c r="J195" s="0" t="s">
        <v>1643</v>
      </c>
      <c r="K195" s="0" t="s">
        <v>1641</v>
      </c>
      <c r="L195" s="0" t="s">
        <v>114</v>
      </c>
      <c r="M195" s="0">
        <v>12</v>
      </c>
      <c r="N195" s="0">
        <v>54</v>
      </c>
      <c r="O195" s="0">
        <v>-520258</v>
      </c>
      <c r="P195" s="1">
        <f>=HYPERLINK("10.175.1.14\MWEB.12\ERR\EntityDetails.10.175.1.14.MWEB.12.com.mysql.cj.-520258.xlsx", "&lt;Detail&gt;")</f>
      </c>
      <c r="Q195" s="1">
        <f>=HYPERLINK("10.175.1.14\MWEB.12\ERR\MetricGraphs.ERR.10.175.1.14.MWEB.12.xlsx", "&lt;Metrics&gt;")</f>
      </c>
      <c r="R195" s="0" t="s">
        <v>101</v>
      </c>
      <c r="S195" s="0" t="s">
        <v>145</v>
      </c>
      <c r="T195" s="0" t="s">
        <v>187</v>
      </c>
      <c r="U195" s="0" t="s">
        <v>114</v>
      </c>
    </row>
    <row r="196">
      <c r="A196" s="0" t="s">
        <v>28</v>
      </c>
      <c r="B196" s="0" t="s">
        <v>30</v>
      </c>
      <c r="C196" s="0" t="s">
        <v>186</v>
      </c>
      <c r="D196" s="0" t="s">
        <v>1658</v>
      </c>
      <c r="E196" s="0" t="s">
        <v>1647</v>
      </c>
      <c r="F196" s="0">
        <v>500</v>
      </c>
      <c r="G196" s="0">
        <v>2</v>
      </c>
      <c r="H196" s="0" t="s">
        <v>1659</v>
      </c>
      <c r="I196" s="0" t="s">
        <v>1660</v>
      </c>
      <c r="J196" s="0" t="s">
        <v>114</v>
      </c>
      <c r="K196" s="0" t="s">
        <v>114</v>
      </c>
      <c r="L196" s="0" t="s">
        <v>114</v>
      </c>
      <c r="M196" s="0">
        <v>12</v>
      </c>
      <c r="N196" s="0">
        <v>54</v>
      </c>
      <c r="O196" s="0">
        <v>-517795</v>
      </c>
      <c r="P196" s="1">
        <f>=HYPERLINK("10.175.1.14\MWEB.12\ERR\EntityDetails.10.175.1.14.MWEB.12.Internal Ser.-517795.xlsx", "&lt;Detail&gt;")</f>
      </c>
      <c r="Q196" s="1">
        <f>=HYPERLINK("10.175.1.14\MWEB.12\ERR\MetricGraphs.ERR.10.175.1.14.MWEB.12.xlsx", "&lt;Metrics&gt;")</f>
      </c>
      <c r="R196" s="0" t="s">
        <v>101</v>
      </c>
      <c r="S196" s="0" t="s">
        <v>145</v>
      </c>
      <c r="T196" s="0" t="s">
        <v>187</v>
      </c>
      <c r="U196" s="0" t="s">
        <v>114</v>
      </c>
    </row>
    <row r="197">
      <c r="A197" s="0" t="s">
        <v>28</v>
      </c>
      <c r="B197" s="0" t="s">
        <v>30</v>
      </c>
      <c r="C197" s="0" t="s">
        <v>186</v>
      </c>
      <c r="D197" s="0" t="s">
        <v>1726</v>
      </c>
      <c r="E197" s="0" t="s">
        <v>1635</v>
      </c>
      <c r="F197" s="0">
        <v>0</v>
      </c>
      <c r="G197" s="0">
        <v>2</v>
      </c>
      <c r="H197" s="0" t="s">
        <v>1727</v>
      </c>
      <c r="I197" s="0" t="s">
        <v>114</v>
      </c>
      <c r="J197" s="0" t="s">
        <v>114</v>
      </c>
      <c r="K197" s="0" t="s">
        <v>114</v>
      </c>
      <c r="L197" s="0" t="s">
        <v>114</v>
      </c>
      <c r="M197" s="0">
        <v>12</v>
      </c>
      <c r="N197" s="0">
        <v>54</v>
      </c>
      <c r="O197" s="0">
        <v>-520260</v>
      </c>
      <c r="P197" s="1">
        <f>=HYPERLINK("10.175.1.14\MWEB.12\ERR\EntityDetails.10.175.1.14.MWEB.12.java.sql.SQL.-520260.xlsx", "&lt;Detail&gt;")</f>
      </c>
      <c r="Q197" s="1">
        <f>=HYPERLINK("10.175.1.14\MWEB.12\ERR\MetricGraphs.ERR.10.175.1.14.MWEB.12.xlsx", "&lt;Metrics&gt;")</f>
      </c>
      <c r="R197" s="0" t="s">
        <v>101</v>
      </c>
      <c r="S197" s="0" t="s">
        <v>145</v>
      </c>
      <c r="T197" s="0" t="s">
        <v>187</v>
      </c>
      <c r="U197" s="0" t="s">
        <v>114</v>
      </c>
    </row>
    <row r="198">
      <c r="A198" s="0" t="s">
        <v>28</v>
      </c>
      <c r="B198" s="0" t="s">
        <v>30</v>
      </c>
      <c r="C198" s="0" t="s">
        <v>186</v>
      </c>
      <c r="D198" s="0" t="s">
        <v>1670</v>
      </c>
      <c r="E198" s="0" t="s">
        <v>1635</v>
      </c>
      <c r="F198" s="0">
        <v>0</v>
      </c>
      <c r="G198" s="0">
        <v>2</v>
      </c>
      <c r="H198" s="0" t="s">
        <v>1671</v>
      </c>
      <c r="I198" s="0" t="s">
        <v>114</v>
      </c>
      <c r="J198" s="0" t="s">
        <v>114</v>
      </c>
      <c r="K198" s="0" t="s">
        <v>114</v>
      </c>
      <c r="L198" s="0" t="s">
        <v>114</v>
      </c>
      <c r="M198" s="0">
        <v>12</v>
      </c>
      <c r="N198" s="0">
        <v>54</v>
      </c>
      <c r="O198" s="0">
        <v>-630494</v>
      </c>
      <c r="P198" s="1">
        <f>=HYPERLINK("10.175.1.14\MWEB.12\ERR\EntityDetails.10.175.1.14.MWEB.12.java.sql.SQL.-630494.xlsx", "&lt;Detail&gt;")</f>
      </c>
      <c r="Q198" s="1">
        <f>=HYPERLINK("10.175.1.14\MWEB.12\ERR\MetricGraphs.ERR.10.175.1.14.MWEB.12.xlsx", "&lt;Metrics&gt;")</f>
      </c>
      <c r="R198" s="0" t="s">
        <v>101</v>
      </c>
      <c r="S198" s="0" t="s">
        <v>145</v>
      </c>
      <c r="T198" s="0" t="s">
        <v>187</v>
      </c>
      <c r="U198" s="0" t="s">
        <v>114</v>
      </c>
    </row>
    <row r="199">
      <c r="A199" s="0" t="s">
        <v>28</v>
      </c>
      <c r="B199" s="0" t="s">
        <v>30</v>
      </c>
      <c r="C199" s="0" t="s">
        <v>186</v>
      </c>
      <c r="D199" s="0" t="s">
        <v>1677</v>
      </c>
      <c r="E199" s="0" t="s">
        <v>1647</v>
      </c>
      <c r="F199" s="0">
        <v>404</v>
      </c>
      <c r="G199" s="0">
        <v>2</v>
      </c>
      <c r="H199" s="0" t="s">
        <v>1678</v>
      </c>
      <c r="I199" s="0" t="s">
        <v>1679</v>
      </c>
      <c r="J199" s="0" t="s">
        <v>114</v>
      </c>
      <c r="K199" s="0" t="s">
        <v>114</v>
      </c>
      <c r="L199" s="0" t="s">
        <v>114</v>
      </c>
      <c r="M199" s="0">
        <v>12</v>
      </c>
      <c r="N199" s="0">
        <v>54</v>
      </c>
      <c r="O199" s="0">
        <v>-517885</v>
      </c>
      <c r="P199" s="1">
        <f>=HYPERLINK("10.175.1.14\MWEB.12\ERR\EntityDetails.10.175.1.14.MWEB.12.Page Not Fou.-517885.xlsx", "&lt;Detail&gt;")</f>
      </c>
      <c r="Q199" s="1">
        <f>=HYPERLINK("10.175.1.14\MWEB.12\ERR\MetricGraphs.ERR.10.175.1.14.MWEB.12.xlsx", "&lt;Metrics&gt;")</f>
      </c>
      <c r="R199" s="0" t="s">
        <v>101</v>
      </c>
      <c r="S199" s="0" t="s">
        <v>145</v>
      </c>
      <c r="T199" s="0" t="s">
        <v>187</v>
      </c>
      <c r="U199" s="0" t="s">
        <v>114</v>
      </c>
    </row>
    <row r="200">
      <c r="A200" s="0" t="s">
        <v>28</v>
      </c>
      <c r="B200" s="0" t="s">
        <v>30</v>
      </c>
      <c r="C200" s="0" t="s">
        <v>186</v>
      </c>
      <c r="D200" s="0" t="s">
        <v>1687</v>
      </c>
      <c r="E200" s="0" t="s">
        <v>1635</v>
      </c>
      <c r="F200" s="0">
        <v>0</v>
      </c>
      <c r="G200" s="0">
        <v>2</v>
      </c>
      <c r="H200" s="0" t="s">
        <v>1688</v>
      </c>
      <c r="I200" s="0" t="s">
        <v>114</v>
      </c>
      <c r="J200" s="0" t="s">
        <v>114</v>
      </c>
      <c r="K200" s="0" t="s">
        <v>114</v>
      </c>
      <c r="L200" s="0" t="s">
        <v>114</v>
      </c>
      <c r="M200" s="0">
        <v>12</v>
      </c>
      <c r="N200" s="0">
        <v>54</v>
      </c>
      <c r="O200" s="0">
        <v>-520246</v>
      </c>
      <c r="P200" s="1">
        <f>=HYPERLINK("10.175.1.14\MWEB.12\ERR\EntityDetails.10.175.1.14.MWEB.12.weblogic.jdb.-520246.xlsx", "&lt;Detail&gt;")</f>
      </c>
      <c r="Q200" s="1">
        <f>=HYPERLINK("10.175.1.14\MWEB.12\ERR\MetricGraphs.ERR.10.175.1.14.MWEB.12.xlsx", "&lt;Metrics&gt;")</f>
      </c>
      <c r="R200" s="0" t="s">
        <v>101</v>
      </c>
      <c r="S200" s="0" t="s">
        <v>145</v>
      </c>
      <c r="T200" s="0" t="s">
        <v>187</v>
      </c>
      <c r="U200" s="0" t="s">
        <v>114</v>
      </c>
    </row>
    <row r="201">
      <c r="A201" s="0" t="s">
        <v>28</v>
      </c>
      <c r="B201" s="0" t="s">
        <v>30</v>
      </c>
      <c r="C201" s="0" t="s">
        <v>186</v>
      </c>
      <c r="D201" s="0" t="s">
        <v>1759</v>
      </c>
      <c r="E201" s="0" t="s">
        <v>1635</v>
      </c>
      <c r="F201" s="0">
        <v>0</v>
      </c>
      <c r="G201" s="0">
        <v>2</v>
      </c>
      <c r="H201" s="0" t="s">
        <v>1760</v>
      </c>
      <c r="I201" s="0" t="s">
        <v>114</v>
      </c>
      <c r="J201" s="0" t="s">
        <v>114</v>
      </c>
      <c r="K201" s="0" t="s">
        <v>114</v>
      </c>
      <c r="L201" s="0" t="s">
        <v>114</v>
      </c>
      <c r="M201" s="0">
        <v>12</v>
      </c>
      <c r="N201" s="0">
        <v>54</v>
      </c>
      <c r="O201" s="0">
        <v>-520272</v>
      </c>
      <c r="P201" s="1">
        <f>=HYPERLINK("10.175.1.14\MWEB.12\ERR\EntityDetails.10.175.1.14.MWEB.12.weblogic.jdb.-520272.xlsx", "&lt;Detail&gt;")</f>
      </c>
      <c r="Q201" s="1">
        <f>=HYPERLINK("10.175.1.14\MWEB.12\ERR\MetricGraphs.ERR.10.175.1.14.MWEB.12.xlsx", "&lt;Metrics&gt;")</f>
      </c>
      <c r="R201" s="0" t="s">
        <v>101</v>
      </c>
      <c r="S201" s="0" t="s">
        <v>145</v>
      </c>
      <c r="T201" s="0" t="s">
        <v>187</v>
      </c>
      <c r="U201" s="0" t="s">
        <v>114</v>
      </c>
    </row>
    <row r="202">
      <c r="A202" s="0" t="s">
        <v>28</v>
      </c>
      <c r="B202" s="0" t="s">
        <v>30</v>
      </c>
      <c r="C202" s="0" t="s">
        <v>186</v>
      </c>
      <c r="D202" s="0" t="s">
        <v>1761</v>
      </c>
      <c r="E202" s="0" t="s">
        <v>1635</v>
      </c>
      <c r="F202" s="0">
        <v>0</v>
      </c>
      <c r="G202" s="0">
        <v>2</v>
      </c>
      <c r="H202" s="0" t="s">
        <v>1762</v>
      </c>
      <c r="I202" s="0" t="s">
        <v>114</v>
      </c>
      <c r="J202" s="0" t="s">
        <v>114</v>
      </c>
      <c r="K202" s="0" t="s">
        <v>114</v>
      </c>
      <c r="L202" s="0" t="s">
        <v>114</v>
      </c>
      <c r="M202" s="0">
        <v>12</v>
      </c>
      <c r="N202" s="0">
        <v>54</v>
      </c>
      <c r="O202" s="0">
        <v>-520236</v>
      </c>
      <c r="P202" s="1">
        <f>=HYPERLINK("10.175.1.14\MWEB.12\ERR\EntityDetails.10.175.1.14.MWEB.12.weblogic.jdb.-520236.xlsx", "&lt;Detail&gt;")</f>
      </c>
      <c r="Q202" s="1">
        <f>=HYPERLINK("10.175.1.14\MWEB.12\ERR\MetricGraphs.ERR.10.175.1.14.MWEB.12.xlsx", "&lt;Metrics&gt;")</f>
      </c>
      <c r="R202" s="0" t="s">
        <v>101</v>
      </c>
      <c r="S202" s="0" t="s">
        <v>145</v>
      </c>
      <c r="T202" s="0" t="s">
        <v>187</v>
      </c>
      <c r="U202" s="0" t="s">
        <v>114</v>
      </c>
    </row>
    <row r="203">
      <c r="A203" s="0" t="s">
        <v>28</v>
      </c>
      <c r="B203" s="0" t="s">
        <v>30</v>
      </c>
      <c r="C203" s="0" t="s">
        <v>188</v>
      </c>
      <c r="D203" s="0" t="s">
        <v>1636</v>
      </c>
      <c r="E203" s="0" t="s">
        <v>1635</v>
      </c>
      <c r="F203" s="0">
        <v>0</v>
      </c>
      <c r="G203" s="0">
        <v>4</v>
      </c>
      <c r="H203" s="0" t="s">
        <v>1637</v>
      </c>
      <c r="I203" s="0" t="s">
        <v>1638</v>
      </c>
      <c r="J203" s="0" t="s">
        <v>1639</v>
      </c>
      <c r="K203" s="0" t="s">
        <v>114</v>
      </c>
      <c r="L203" s="0" t="s">
        <v>114</v>
      </c>
      <c r="M203" s="0">
        <v>12</v>
      </c>
      <c r="N203" s="0">
        <v>53</v>
      </c>
      <c r="O203" s="0">
        <v>-516804</v>
      </c>
      <c r="P203" s="1">
        <f>=HYPERLINK("10.175.1.14\MWEB.12\ERR\EntityDetails.10.175.1.14.MWEB.12.com.mysql.cj.-516804.xlsx", "&lt;Detail&gt;")</f>
      </c>
      <c r="Q203" s="1">
        <f>=HYPERLINK("10.175.1.14\MWEB.12\ERR\MetricGraphs.ERR.10.175.1.14.MWEB.12.xlsx", "&lt;Metrics&gt;")</f>
      </c>
      <c r="R203" s="0" t="s">
        <v>101</v>
      </c>
      <c r="S203" s="0" t="s">
        <v>145</v>
      </c>
      <c r="T203" s="0" t="s">
        <v>189</v>
      </c>
      <c r="U203" s="0" t="s">
        <v>114</v>
      </c>
    </row>
    <row r="204">
      <c r="A204" s="0" t="s">
        <v>28</v>
      </c>
      <c r="B204" s="0" t="s">
        <v>30</v>
      </c>
      <c r="C204" s="0" t="s">
        <v>188</v>
      </c>
      <c r="D204" s="0" t="s">
        <v>1642</v>
      </c>
      <c r="E204" s="0" t="s">
        <v>1635</v>
      </c>
      <c r="F204" s="0">
        <v>0</v>
      </c>
      <c r="G204" s="0">
        <v>5</v>
      </c>
      <c r="H204" s="0" t="s">
        <v>1637</v>
      </c>
      <c r="I204" s="0" t="s">
        <v>1638</v>
      </c>
      <c r="J204" s="0" t="s">
        <v>1643</v>
      </c>
      <c r="K204" s="0" t="s">
        <v>1641</v>
      </c>
      <c r="L204" s="0" t="s">
        <v>114</v>
      </c>
      <c r="M204" s="0">
        <v>12</v>
      </c>
      <c r="N204" s="0">
        <v>53</v>
      </c>
      <c r="O204" s="0">
        <v>-520384</v>
      </c>
      <c r="P204" s="1">
        <f>=HYPERLINK("10.175.1.14\MWEB.12\ERR\EntityDetails.10.175.1.14.MWEB.12.com.mysql.cj.-520384.xlsx", "&lt;Detail&gt;")</f>
      </c>
      <c r="Q204" s="1">
        <f>=HYPERLINK("10.175.1.14\MWEB.12\ERR\MetricGraphs.ERR.10.175.1.14.MWEB.12.xlsx", "&lt;Metrics&gt;")</f>
      </c>
      <c r="R204" s="0" t="s">
        <v>101</v>
      </c>
      <c r="S204" s="0" t="s">
        <v>145</v>
      </c>
      <c r="T204" s="0" t="s">
        <v>189</v>
      </c>
      <c r="U204" s="0" t="s">
        <v>114</v>
      </c>
    </row>
    <row r="205">
      <c r="A205" s="0" t="s">
        <v>28</v>
      </c>
      <c r="B205" s="0" t="s">
        <v>30</v>
      </c>
      <c r="C205" s="0" t="s">
        <v>188</v>
      </c>
      <c r="D205" s="0" t="s">
        <v>1644</v>
      </c>
      <c r="E205" s="0" t="s">
        <v>1635</v>
      </c>
      <c r="F205" s="0">
        <v>0</v>
      </c>
      <c r="G205" s="0">
        <v>2</v>
      </c>
      <c r="H205" s="0" t="s">
        <v>1645</v>
      </c>
      <c r="I205" s="0" t="s">
        <v>114</v>
      </c>
      <c r="J205" s="0" t="s">
        <v>114</v>
      </c>
      <c r="K205" s="0" t="s">
        <v>114</v>
      </c>
      <c r="L205" s="0" t="s">
        <v>114</v>
      </c>
      <c r="M205" s="0">
        <v>12</v>
      </c>
      <c r="N205" s="0">
        <v>53</v>
      </c>
      <c r="O205" s="0">
        <v>-632699</v>
      </c>
      <c r="P205" s="1">
        <f>=HYPERLINK("10.175.1.14\MWEB.12\ERR\EntityDetails.10.175.1.14.MWEB.12.com.mysql.cj.-632699.xlsx", "&lt;Detail&gt;")</f>
      </c>
      <c r="Q205" s="1">
        <f>=HYPERLINK("10.175.1.14\MWEB.12\ERR\MetricGraphs.ERR.10.175.1.14.MWEB.12.xlsx", "&lt;Metrics&gt;")</f>
      </c>
      <c r="R205" s="0" t="s">
        <v>101</v>
      </c>
      <c r="S205" s="0" t="s">
        <v>145</v>
      </c>
      <c r="T205" s="0" t="s">
        <v>189</v>
      </c>
      <c r="U205" s="0" t="s">
        <v>114</v>
      </c>
    </row>
    <row r="206">
      <c r="A206" s="0" t="s">
        <v>28</v>
      </c>
      <c r="B206" s="0" t="s">
        <v>30</v>
      </c>
      <c r="C206" s="0" t="s">
        <v>188</v>
      </c>
      <c r="D206" s="0" t="s">
        <v>1658</v>
      </c>
      <c r="E206" s="0" t="s">
        <v>1647</v>
      </c>
      <c r="F206" s="0">
        <v>500</v>
      </c>
      <c r="G206" s="0">
        <v>2</v>
      </c>
      <c r="H206" s="0" t="s">
        <v>1659</v>
      </c>
      <c r="I206" s="0" t="s">
        <v>1660</v>
      </c>
      <c r="J206" s="0" t="s">
        <v>114</v>
      </c>
      <c r="K206" s="0" t="s">
        <v>114</v>
      </c>
      <c r="L206" s="0" t="s">
        <v>114</v>
      </c>
      <c r="M206" s="0">
        <v>12</v>
      </c>
      <c r="N206" s="0">
        <v>53</v>
      </c>
      <c r="O206" s="0">
        <v>-516808</v>
      </c>
      <c r="P206" s="1">
        <f>=HYPERLINK("10.175.1.14\MWEB.12\ERR\EntityDetails.10.175.1.14.MWEB.12.Internal Ser.-516808.xlsx", "&lt;Detail&gt;")</f>
      </c>
      <c r="Q206" s="1">
        <f>=HYPERLINK("10.175.1.14\MWEB.12\ERR\MetricGraphs.ERR.10.175.1.14.MWEB.12.xlsx", "&lt;Metrics&gt;")</f>
      </c>
      <c r="R206" s="0" t="s">
        <v>101</v>
      </c>
      <c r="S206" s="0" t="s">
        <v>145</v>
      </c>
      <c r="T206" s="0" t="s">
        <v>189</v>
      </c>
      <c r="U206" s="0" t="s">
        <v>114</v>
      </c>
    </row>
    <row r="207">
      <c r="A207" s="0" t="s">
        <v>28</v>
      </c>
      <c r="B207" s="0" t="s">
        <v>30</v>
      </c>
      <c r="C207" s="0" t="s">
        <v>188</v>
      </c>
      <c r="D207" s="0" t="s">
        <v>1667</v>
      </c>
      <c r="E207" s="0" t="s">
        <v>1635</v>
      </c>
      <c r="F207" s="0">
        <v>0</v>
      </c>
      <c r="G207" s="0">
        <v>2</v>
      </c>
      <c r="H207" s="0" t="s">
        <v>1668</v>
      </c>
      <c r="I207" s="0" t="s">
        <v>114</v>
      </c>
      <c r="J207" s="0" t="s">
        <v>114</v>
      </c>
      <c r="K207" s="0" t="s">
        <v>114</v>
      </c>
      <c r="L207" s="0" t="s">
        <v>114</v>
      </c>
      <c r="M207" s="0">
        <v>12</v>
      </c>
      <c r="N207" s="0">
        <v>53</v>
      </c>
      <c r="O207" s="0">
        <v>-631630</v>
      </c>
      <c r="P207" s="1">
        <f>=HYPERLINK("10.175.1.14\MWEB.12\ERR\EntityDetails.10.175.1.14.MWEB.12.java.rmi.Con.-631630.xlsx", "&lt;Detail&gt;")</f>
      </c>
      <c r="Q207" s="1">
        <f>=HYPERLINK("10.175.1.14\MWEB.12\ERR\MetricGraphs.ERR.10.175.1.14.MWEB.12.xlsx", "&lt;Metrics&gt;")</f>
      </c>
      <c r="R207" s="0" t="s">
        <v>101</v>
      </c>
      <c r="S207" s="0" t="s">
        <v>145</v>
      </c>
      <c r="T207" s="0" t="s">
        <v>189</v>
      </c>
      <c r="U207" s="0" t="s">
        <v>114</v>
      </c>
    </row>
    <row r="208">
      <c r="A208" s="0" t="s">
        <v>28</v>
      </c>
      <c r="B208" s="0" t="s">
        <v>30</v>
      </c>
      <c r="C208" s="0" t="s">
        <v>188</v>
      </c>
      <c r="D208" s="0" t="s">
        <v>1669</v>
      </c>
      <c r="E208" s="0" t="s">
        <v>1635</v>
      </c>
      <c r="F208" s="0">
        <v>0</v>
      </c>
      <c r="G208" s="0">
        <v>3</v>
      </c>
      <c r="H208" s="0" t="s">
        <v>1668</v>
      </c>
      <c r="I208" s="0" t="s">
        <v>1668</v>
      </c>
      <c r="J208" s="0" t="s">
        <v>114</v>
      </c>
      <c r="K208" s="0" t="s">
        <v>114</v>
      </c>
      <c r="L208" s="0" t="s">
        <v>114</v>
      </c>
      <c r="M208" s="0">
        <v>12</v>
      </c>
      <c r="N208" s="0">
        <v>53</v>
      </c>
      <c r="O208" s="0">
        <v>-631628</v>
      </c>
      <c r="P208" s="1">
        <f>=HYPERLINK("10.175.1.14\MWEB.12\ERR\EntityDetails.10.175.1.14.MWEB.12.java.rmi.Con.-631628.xlsx", "&lt;Detail&gt;")</f>
      </c>
      <c r="Q208" s="1">
        <f>=HYPERLINK("10.175.1.14\MWEB.12\ERR\MetricGraphs.ERR.10.175.1.14.MWEB.12.xlsx", "&lt;Metrics&gt;")</f>
      </c>
      <c r="R208" s="0" t="s">
        <v>101</v>
      </c>
      <c r="S208" s="0" t="s">
        <v>145</v>
      </c>
      <c r="T208" s="0" t="s">
        <v>189</v>
      </c>
      <c r="U208" s="0" t="s">
        <v>114</v>
      </c>
    </row>
    <row r="209">
      <c r="A209" s="0" t="s">
        <v>28</v>
      </c>
      <c r="B209" s="0" t="s">
        <v>30</v>
      </c>
      <c r="C209" s="0" t="s">
        <v>188</v>
      </c>
      <c r="D209" s="0" t="s">
        <v>1726</v>
      </c>
      <c r="E209" s="0" t="s">
        <v>1635</v>
      </c>
      <c r="F209" s="0">
        <v>0</v>
      </c>
      <c r="G209" s="0">
        <v>2</v>
      </c>
      <c r="H209" s="0" t="s">
        <v>1727</v>
      </c>
      <c r="I209" s="0" t="s">
        <v>114</v>
      </c>
      <c r="J209" s="0" t="s">
        <v>114</v>
      </c>
      <c r="K209" s="0" t="s">
        <v>114</v>
      </c>
      <c r="L209" s="0" t="s">
        <v>114</v>
      </c>
      <c r="M209" s="0">
        <v>12</v>
      </c>
      <c r="N209" s="0">
        <v>53</v>
      </c>
      <c r="O209" s="0">
        <v>-520386</v>
      </c>
      <c r="P209" s="1">
        <f>=HYPERLINK("10.175.1.14\MWEB.12\ERR\EntityDetails.10.175.1.14.MWEB.12.java.sql.SQL.-520386.xlsx", "&lt;Detail&gt;")</f>
      </c>
      <c r="Q209" s="1">
        <f>=HYPERLINK("10.175.1.14\MWEB.12\ERR\MetricGraphs.ERR.10.175.1.14.MWEB.12.xlsx", "&lt;Metrics&gt;")</f>
      </c>
      <c r="R209" s="0" t="s">
        <v>101</v>
      </c>
      <c r="S209" s="0" t="s">
        <v>145</v>
      </c>
      <c r="T209" s="0" t="s">
        <v>189</v>
      </c>
      <c r="U209" s="0" t="s">
        <v>114</v>
      </c>
    </row>
    <row r="210">
      <c r="A210" s="0" t="s">
        <v>28</v>
      </c>
      <c r="B210" s="0" t="s">
        <v>30</v>
      </c>
      <c r="C210" s="0" t="s">
        <v>188</v>
      </c>
      <c r="D210" s="0" t="s">
        <v>1670</v>
      </c>
      <c r="E210" s="0" t="s">
        <v>1635</v>
      </c>
      <c r="F210" s="0">
        <v>0</v>
      </c>
      <c r="G210" s="0">
        <v>2</v>
      </c>
      <c r="H210" s="0" t="s">
        <v>1671</v>
      </c>
      <c r="I210" s="0" t="s">
        <v>114</v>
      </c>
      <c r="J210" s="0" t="s">
        <v>114</v>
      </c>
      <c r="K210" s="0" t="s">
        <v>114</v>
      </c>
      <c r="L210" s="0" t="s">
        <v>114</v>
      </c>
      <c r="M210" s="0">
        <v>12</v>
      </c>
      <c r="N210" s="0">
        <v>53</v>
      </c>
      <c r="O210" s="0">
        <v>-630492</v>
      </c>
      <c r="P210" s="1">
        <f>=HYPERLINK("10.175.1.14\MWEB.12\ERR\EntityDetails.10.175.1.14.MWEB.12.java.sql.SQL.-630492.xlsx", "&lt;Detail&gt;")</f>
      </c>
      <c r="Q210" s="1">
        <f>=HYPERLINK("10.175.1.14\MWEB.12\ERR\MetricGraphs.ERR.10.175.1.14.MWEB.12.xlsx", "&lt;Metrics&gt;")</f>
      </c>
      <c r="R210" s="0" t="s">
        <v>101</v>
      </c>
      <c r="S210" s="0" t="s">
        <v>145</v>
      </c>
      <c r="T210" s="0" t="s">
        <v>189</v>
      </c>
      <c r="U210" s="0" t="s">
        <v>114</v>
      </c>
    </row>
    <row r="211">
      <c r="A211" s="0" t="s">
        <v>28</v>
      </c>
      <c r="B211" s="0" t="s">
        <v>30</v>
      </c>
      <c r="C211" s="0" t="s">
        <v>188</v>
      </c>
      <c r="D211" s="0" t="s">
        <v>1677</v>
      </c>
      <c r="E211" s="0" t="s">
        <v>1647</v>
      </c>
      <c r="F211" s="0">
        <v>404</v>
      </c>
      <c r="G211" s="0">
        <v>2</v>
      </c>
      <c r="H211" s="0" t="s">
        <v>1678</v>
      </c>
      <c r="I211" s="0" t="s">
        <v>1679</v>
      </c>
      <c r="J211" s="0" t="s">
        <v>114</v>
      </c>
      <c r="K211" s="0" t="s">
        <v>114</v>
      </c>
      <c r="L211" s="0" t="s">
        <v>114</v>
      </c>
      <c r="M211" s="0">
        <v>12</v>
      </c>
      <c r="N211" s="0">
        <v>53</v>
      </c>
      <c r="O211" s="0">
        <v>-517887</v>
      </c>
      <c r="P211" s="1">
        <f>=HYPERLINK("10.175.1.14\MWEB.12\ERR\EntityDetails.10.175.1.14.MWEB.12.Page Not Fou.-517887.xlsx", "&lt;Detail&gt;")</f>
      </c>
      <c r="Q211" s="1">
        <f>=HYPERLINK("10.175.1.14\MWEB.12\ERR\MetricGraphs.ERR.10.175.1.14.MWEB.12.xlsx", "&lt;Metrics&gt;")</f>
      </c>
      <c r="R211" s="0" t="s">
        <v>101</v>
      </c>
      <c r="S211" s="0" t="s">
        <v>145</v>
      </c>
      <c r="T211" s="0" t="s">
        <v>189</v>
      </c>
      <c r="U211" s="0" t="s">
        <v>114</v>
      </c>
    </row>
    <row r="212">
      <c r="A212" s="0" t="s">
        <v>28</v>
      </c>
      <c r="B212" s="0" t="s">
        <v>30</v>
      </c>
      <c r="C212" s="0" t="s">
        <v>188</v>
      </c>
      <c r="D212" s="0" t="s">
        <v>1687</v>
      </c>
      <c r="E212" s="0" t="s">
        <v>1635</v>
      </c>
      <c r="F212" s="0">
        <v>0</v>
      </c>
      <c r="G212" s="0">
        <v>2</v>
      </c>
      <c r="H212" s="0" t="s">
        <v>1688</v>
      </c>
      <c r="I212" s="0" t="s">
        <v>114</v>
      </c>
      <c r="J212" s="0" t="s">
        <v>114</v>
      </c>
      <c r="K212" s="0" t="s">
        <v>114</v>
      </c>
      <c r="L212" s="0" t="s">
        <v>114</v>
      </c>
      <c r="M212" s="0">
        <v>12</v>
      </c>
      <c r="N212" s="0">
        <v>53</v>
      </c>
      <c r="O212" s="0">
        <v>-520382</v>
      </c>
      <c r="P212" s="1">
        <f>=HYPERLINK("10.175.1.14\MWEB.12\ERR\EntityDetails.10.175.1.14.MWEB.12.weblogic.jdb.-520382.xlsx", "&lt;Detail&gt;")</f>
      </c>
      <c r="Q212" s="1">
        <f>=HYPERLINK("10.175.1.14\MWEB.12\ERR\MetricGraphs.ERR.10.175.1.14.MWEB.12.xlsx", "&lt;Metrics&gt;")</f>
      </c>
      <c r="R212" s="0" t="s">
        <v>101</v>
      </c>
      <c r="S212" s="0" t="s">
        <v>145</v>
      </c>
      <c r="T212" s="0" t="s">
        <v>189</v>
      </c>
      <c r="U212" s="0" t="s">
        <v>114</v>
      </c>
    </row>
    <row r="213">
      <c r="A213" s="0" t="s">
        <v>28</v>
      </c>
      <c r="B213" s="0" t="s">
        <v>30</v>
      </c>
      <c r="C213" s="0" t="s">
        <v>188</v>
      </c>
      <c r="D213" s="0" t="s">
        <v>1759</v>
      </c>
      <c r="E213" s="0" t="s">
        <v>1635</v>
      </c>
      <c r="F213" s="0">
        <v>0</v>
      </c>
      <c r="G213" s="0">
        <v>2</v>
      </c>
      <c r="H213" s="0" t="s">
        <v>1760</v>
      </c>
      <c r="I213" s="0" t="s">
        <v>114</v>
      </c>
      <c r="J213" s="0" t="s">
        <v>114</v>
      </c>
      <c r="K213" s="0" t="s">
        <v>114</v>
      </c>
      <c r="L213" s="0" t="s">
        <v>114</v>
      </c>
      <c r="M213" s="0">
        <v>12</v>
      </c>
      <c r="N213" s="0">
        <v>53</v>
      </c>
      <c r="O213" s="0">
        <v>-520388</v>
      </c>
      <c r="P213" s="1">
        <f>=HYPERLINK("10.175.1.14\MWEB.12\ERR\EntityDetails.10.175.1.14.MWEB.12.weblogic.jdb.-520388.xlsx", "&lt;Detail&gt;")</f>
      </c>
      <c r="Q213" s="1">
        <f>=HYPERLINK("10.175.1.14\MWEB.12\ERR\MetricGraphs.ERR.10.175.1.14.MWEB.12.xlsx", "&lt;Metrics&gt;")</f>
      </c>
      <c r="R213" s="0" t="s">
        <v>101</v>
      </c>
      <c r="S213" s="0" t="s">
        <v>145</v>
      </c>
      <c r="T213" s="0" t="s">
        <v>189</v>
      </c>
      <c r="U213" s="0" t="s">
        <v>114</v>
      </c>
    </row>
    <row r="214">
      <c r="A214" s="0" t="s">
        <v>28</v>
      </c>
      <c r="B214" s="0" t="s">
        <v>30</v>
      </c>
      <c r="C214" s="0" t="s">
        <v>188</v>
      </c>
      <c r="D214" s="0" t="s">
        <v>1761</v>
      </c>
      <c r="E214" s="0" t="s">
        <v>1635</v>
      </c>
      <c r="F214" s="0">
        <v>0</v>
      </c>
      <c r="G214" s="0">
        <v>2</v>
      </c>
      <c r="H214" s="0" t="s">
        <v>1762</v>
      </c>
      <c r="I214" s="0" t="s">
        <v>114</v>
      </c>
      <c r="J214" s="0" t="s">
        <v>114</v>
      </c>
      <c r="K214" s="0" t="s">
        <v>114</v>
      </c>
      <c r="L214" s="0" t="s">
        <v>114</v>
      </c>
      <c r="M214" s="0">
        <v>12</v>
      </c>
      <c r="N214" s="0">
        <v>53</v>
      </c>
      <c r="O214" s="0">
        <v>-600825</v>
      </c>
      <c r="P214" s="1">
        <f>=HYPERLINK("10.175.1.14\MWEB.12\ERR\EntityDetails.10.175.1.14.MWEB.12.weblogic.jdb.-600825.xlsx", "&lt;Detail&gt;")</f>
      </c>
      <c r="Q214" s="1">
        <f>=HYPERLINK("10.175.1.14\MWEB.12\ERR\MetricGraphs.ERR.10.175.1.14.MWEB.12.xlsx", "&lt;Metrics&gt;")</f>
      </c>
      <c r="R214" s="0" t="s">
        <v>101</v>
      </c>
      <c r="S214" s="0" t="s">
        <v>145</v>
      </c>
      <c r="T214" s="0" t="s">
        <v>189</v>
      </c>
      <c r="U214" s="0" t="s">
        <v>114</v>
      </c>
    </row>
    <row r="215">
      <c r="A215" s="0" t="s">
        <v>28</v>
      </c>
      <c r="B215" s="0" t="s">
        <v>30</v>
      </c>
      <c r="C215" s="0" t="s">
        <v>190</v>
      </c>
      <c r="D215" s="0" t="s">
        <v>1636</v>
      </c>
      <c r="E215" s="0" t="s">
        <v>1635</v>
      </c>
      <c r="F215" s="0">
        <v>0</v>
      </c>
      <c r="G215" s="0">
        <v>4</v>
      </c>
      <c r="H215" s="0" t="s">
        <v>1637</v>
      </c>
      <c r="I215" s="0" t="s">
        <v>1638</v>
      </c>
      <c r="J215" s="0" t="s">
        <v>1639</v>
      </c>
      <c r="K215" s="0" t="s">
        <v>114</v>
      </c>
      <c r="L215" s="0" t="s">
        <v>114</v>
      </c>
      <c r="M215" s="0">
        <v>12</v>
      </c>
      <c r="N215" s="0">
        <v>56</v>
      </c>
      <c r="O215" s="0">
        <v>-517780</v>
      </c>
      <c r="P215" s="1">
        <f>=HYPERLINK("10.175.1.14\MWEB.12\ERR\EntityDetails.10.175.1.14.MWEB.12.com.mysql.cj.-517780.xlsx", "&lt;Detail&gt;")</f>
      </c>
      <c r="Q215" s="1">
        <f>=HYPERLINK("10.175.1.14\MWEB.12\ERR\MetricGraphs.ERR.10.175.1.14.MWEB.12.xlsx", "&lt;Metrics&gt;")</f>
      </c>
      <c r="R215" s="0" t="s">
        <v>101</v>
      </c>
      <c r="S215" s="0" t="s">
        <v>145</v>
      </c>
      <c r="T215" s="0" t="s">
        <v>191</v>
      </c>
      <c r="U215" s="0" t="s">
        <v>114</v>
      </c>
    </row>
    <row r="216">
      <c r="A216" s="0" t="s">
        <v>28</v>
      </c>
      <c r="B216" s="0" t="s">
        <v>30</v>
      </c>
      <c r="C216" s="0" t="s">
        <v>190</v>
      </c>
      <c r="D216" s="0" t="s">
        <v>1642</v>
      </c>
      <c r="E216" s="0" t="s">
        <v>1635</v>
      </c>
      <c r="F216" s="0">
        <v>0</v>
      </c>
      <c r="G216" s="0">
        <v>5</v>
      </c>
      <c r="H216" s="0" t="s">
        <v>1637</v>
      </c>
      <c r="I216" s="0" t="s">
        <v>1638</v>
      </c>
      <c r="J216" s="0" t="s">
        <v>1643</v>
      </c>
      <c r="K216" s="0" t="s">
        <v>1641</v>
      </c>
      <c r="L216" s="0" t="s">
        <v>114</v>
      </c>
      <c r="M216" s="0">
        <v>12</v>
      </c>
      <c r="N216" s="0">
        <v>56</v>
      </c>
      <c r="O216" s="0">
        <v>-520264</v>
      </c>
      <c r="P216" s="1">
        <f>=HYPERLINK("10.175.1.14\MWEB.12\ERR\EntityDetails.10.175.1.14.MWEB.12.com.mysql.cj.-520264.xlsx", "&lt;Detail&gt;")</f>
      </c>
      <c r="Q216" s="1">
        <f>=HYPERLINK("10.175.1.14\MWEB.12\ERR\MetricGraphs.ERR.10.175.1.14.MWEB.12.xlsx", "&lt;Metrics&gt;")</f>
      </c>
      <c r="R216" s="0" t="s">
        <v>101</v>
      </c>
      <c r="S216" s="0" t="s">
        <v>145</v>
      </c>
      <c r="T216" s="0" t="s">
        <v>191</v>
      </c>
      <c r="U216" s="0" t="s">
        <v>114</v>
      </c>
    </row>
    <row r="217">
      <c r="A217" s="0" t="s">
        <v>28</v>
      </c>
      <c r="B217" s="0" t="s">
        <v>30</v>
      </c>
      <c r="C217" s="0" t="s">
        <v>190</v>
      </c>
      <c r="D217" s="0" t="s">
        <v>1658</v>
      </c>
      <c r="E217" s="0" t="s">
        <v>1647</v>
      </c>
      <c r="F217" s="0">
        <v>500</v>
      </c>
      <c r="G217" s="0">
        <v>2</v>
      </c>
      <c r="H217" s="0" t="s">
        <v>1659</v>
      </c>
      <c r="I217" s="0" t="s">
        <v>1660</v>
      </c>
      <c r="J217" s="0" t="s">
        <v>114</v>
      </c>
      <c r="K217" s="0" t="s">
        <v>114</v>
      </c>
      <c r="L217" s="0" t="s">
        <v>114</v>
      </c>
      <c r="M217" s="0">
        <v>12</v>
      </c>
      <c r="N217" s="0">
        <v>56</v>
      </c>
      <c r="O217" s="0">
        <v>-517784</v>
      </c>
      <c r="P217" s="1">
        <f>=HYPERLINK("10.175.1.14\MWEB.12\ERR\EntityDetails.10.175.1.14.MWEB.12.Internal Ser.-517784.xlsx", "&lt;Detail&gt;")</f>
      </c>
      <c r="Q217" s="1">
        <f>=HYPERLINK("10.175.1.14\MWEB.12\ERR\MetricGraphs.ERR.10.175.1.14.MWEB.12.xlsx", "&lt;Metrics&gt;")</f>
      </c>
      <c r="R217" s="0" t="s">
        <v>101</v>
      </c>
      <c r="S217" s="0" t="s">
        <v>145</v>
      </c>
      <c r="T217" s="0" t="s">
        <v>191</v>
      </c>
      <c r="U217" s="0" t="s">
        <v>114</v>
      </c>
    </row>
    <row r="218">
      <c r="A218" s="0" t="s">
        <v>28</v>
      </c>
      <c r="B218" s="0" t="s">
        <v>30</v>
      </c>
      <c r="C218" s="0" t="s">
        <v>190</v>
      </c>
      <c r="D218" s="0" t="s">
        <v>1726</v>
      </c>
      <c r="E218" s="0" t="s">
        <v>1635</v>
      </c>
      <c r="F218" s="0">
        <v>0</v>
      </c>
      <c r="G218" s="0">
        <v>2</v>
      </c>
      <c r="H218" s="0" t="s">
        <v>1727</v>
      </c>
      <c r="I218" s="0" t="s">
        <v>114</v>
      </c>
      <c r="J218" s="0" t="s">
        <v>114</v>
      </c>
      <c r="K218" s="0" t="s">
        <v>114</v>
      </c>
      <c r="L218" s="0" t="s">
        <v>114</v>
      </c>
      <c r="M218" s="0">
        <v>12</v>
      </c>
      <c r="N218" s="0">
        <v>56</v>
      </c>
      <c r="O218" s="0">
        <v>-520266</v>
      </c>
      <c r="P218" s="1">
        <f>=HYPERLINK("10.175.1.14\MWEB.12\ERR\EntityDetails.10.175.1.14.MWEB.12.java.sql.SQL.-520266.xlsx", "&lt;Detail&gt;")</f>
      </c>
      <c r="Q218" s="1">
        <f>=HYPERLINK("10.175.1.14\MWEB.12\ERR\MetricGraphs.ERR.10.175.1.14.MWEB.12.xlsx", "&lt;Metrics&gt;")</f>
      </c>
      <c r="R218" s="0" t="s">
        <v>101</v>
      </c>
      <c r="S218" s="0" t="s">
        <v>145</v>
      </c>
      <c r="T218" s="0" t="s">
        <v>191</v>
      </c>
      <c r="U218" s="0" t="s">
        <v>114</v>
      </c>
    </row>
    <row r="219">
      <c r="A219" s="0" t="s">
        <v>28</v>
      </c>
      <c r="B219" s="0" t="s">
        <v>30</v>
      </c>
      <c r="C219" s="0" t="s">
        <v>190</v>
      </c>
      <c r="D219" s="0" t="s">
        <v>1670</v>
      </c>
      <c r="E219" s="0" t="s">
        <v>1635</v>
      </c>
      <c r="F219" s="0">
        <v>0</v>
      </c>
      <c r="G219" s="0">
        <v>2</v>
      </c>
      <c r="H219" s="0" t="s">
        <v>1671</v>
      </c>
      <c r="I219" s="0" t="s">
        <v>114</v>
      </c>
      <c r="J219" s="0" t="s">
        <v>114</v>
      </c>
      <c r="K219" s="0" t="s">
        <v>114</v>
      </c>
      <c r="L219" s="0" t="s">
        <v>114</v>
      </c>
      <c r="M219" s="0">
        <v>12</v>
      </c>
      <c r="N219" s="0">
        <v>56</v>
      </c>
      <c r="O219" s="0">
        <v>-630481</v>
      </c>
      <c r="P219" s="1">
        <f>=HYPERLINK("10.175.1.14\MWEB.12\ERR\EntityDetails.10.175.1.14.MWEB.12.java.sql.SQL.-630481.xlsx", "&lt;Detail&gt;")</f>
      </c>
      <c r="Q219" s="1">
        <f>=HYPERLINK("10.175.1.14\MWEB.12\ERR\MetricGraphs.ERR.10.175.1.14.MWEB.12.xlsx", "&lt;Metrics&gt;")</f>
      </c>
      <c r="R219" s="0" t="s">
        <v>101</v>
      </c>
      <c r="S219" s="0" t="s">
        <v>145</v>
      </c>
      <c r="T219" s="0" t="s">
        <v>191</v>
      </c>
      <c r="U219" s="0" t="s">
        <v>114</v>
      </c>
    </row>
    <row r="220">
      <c r="A220" s="0" t="s">
        <v>28</v>
      </c>
      <c r="B220" s="0" t="s">
        <v>30</v>
      </c>
      <c r="C220" s="0" t="s">
        <v>190</v>
      </c>
      <c r="D220" s="0" t="s">
        <v>1677</v>
      </c>
      <c r="E220" s="0" t="s">
        <v>1647</v>
      </c>
      <c r="F220" s="0">
        <v>404</v>
      </c>
      <c r="G220" s="0">
        <v>2</v>
      </c>
      <c r="H220" s="0" t="s">
        <v>1678</v>
      </c>
      <c r="I220" s="0" t="s">
        <v>1679</v>
      </c>
      <c r="J220" s="0" t="s">
        <v>114</v>
      </c>
      <c r="K220" s="0" t="s">
        <v>114</v>
      </c>
      <c r="L220" s="0" t="s">
        <v>114</v>
      </c>
      <c r="M220" s="0">
        <v>12</v>
      </c>
      <c r="N220" s="0">
        <v>56</v>
      </c>
      <c r="O220" s="0">
        <v>-517883</v>
      </c>
      <c r="P220" s="1">
        <f>=HYPERLINK("10.175.1.14\MWEB.12\ERR\EntityDetails.10.175.1.14.MWEB.12.Page Not Fou.-517883.xlsx", "&lt;Detail&gt;")</f>
      </c>
      <c r="Q220" s="1">
        <f>=HYPERLINK("10.175.1.14\MWEB.12\ERR\MetricGraphs.ERR.10.175.1.14.MWEB.12.xlsx", "&lt;Metrics&gt;")</f>
      </c>
      <c r="R220" s="0" t="s">
        <v>101</v>
      </c>
      <c r="S220" s="0" t="s">
        <v>145</v>
      </c>
      <c r="T220" s="0" t="s">
        <v>191</v>
      </c>
      <c r="U220" s="0" t="s">
        <v>114</v>
      </c>
    </row>
    <row r="221">
      <c r="A221" s="0" t="s">
        <v>28</v>
      </c>
      <c r="B221" s="0" t="s">
        <v>30</v>
      </c>
      <c r="C221" s="0" t="s">
        <v>190</v>
      </c>
      <c r="D221" s="0" t="s">
        <v>1687</v>
      </c>
      <c r="E221" s="0" t="s">
        <v>1635</v>
      </c>
      <c r="F221" s="0">
        <v>0</v>
      </c>
      <c r="G221" s="0">
        <v>2</v>
      </c>
      <c r="H221" s="0" t="s">
        <v>1688</v>
      </c>
      <c r="I221" s="0" t="s">
        <v>114</v>
      </c>
      <c r="J221" s="0" t="s">
        <v>114</v>
      </c>
      <c r="K221" s="0" t="s">
        <v>114</v>
      </c>
      <c r="L221" s="0" t="s">
        <v>114</v>
      </c>
      <c r="M221" s="0">
        <v>12</v>
      </c>
      <c r="N221" s="0">
        <v>56</v>
      </c>
      <c r="O221" s="0">
        <v>-520250</v>
      </c>
      <c r="P221" s="1">
        <f>=HYPERLINK("10.175.1.14\MWEB.12\ERR\EntityDetails.10.175.1.14.MWEB.12.weblogic.jdb.-520250.xlsx", "&lt;Detail&gt;")</f>
      </c>
      <c r="Q221" s="1">
        <f>=HYPERLINK("10.175.1.14\MWEB.12\ERR\MetricGraphs.ERR.10.175.1.14.MWEB.12.xlsx", "&lt;Metrics&gt;")</f>
      </c>
      <c r="R221" s="0" t="s">
        <v>101</v>
      </c>
      <c r="S221" s="0" t="s">
        <v>145</v>
      </c>
      <c r="T221" s="0" t="s">
        <v>191</v>
      </c>
      <c r="U221" s="0" t="s">
        <v>114</v>
      </c>
    </row>
    <row r="222">
      <c r="A222" s="0" t="s">
        <v>28</v>
      </c>
      <c r="B222" s="0" t="s">
        <v>30</v>
      </c>
      <c r="C222" s="0" t="s">
        <v>190</v>
      </c>
      <c r="D222" s="0" t="s">
        <v>1759</v>
      </c>
      <c r="E222" s="0" t="s">
        <v>1635</v>
      </c>
      <c r="F222" s="0">
        <v>0</v>
      </c>
      <c r="G222" s="0">
        <v>2</v>
      </c>
      <c r="H222" s="0" t="s">
        <v>1760</v>
      </c>
      <c r="I222" s="0" t="s">
        <v>114</v>
      </c>
      <c r="J222" s="0" t="s">
        <v>114</v>
      </c>
      <c r="K222" s="0" t="s">
        <v>114</v>
      </c>
      <c r="L222" s="0" t="s">
        <v>114</v>
      </c>
      <c r="M222" s="0">
        <v>12</v>
      </c>
      <c r="N222" s="0">
        <v>56</v>
      </c>
      <c r="O222" s="0">
        <v>-520276</v>
      </c>
      <c r="P222" s="1">
        <f>=HYPERLINK("10.175.1.14\MWEB.12\ERR\EntityDetails.10.175.1.14.MWEB.12.weblogic.jdb.-520276.xlsx", "&lt;Detail&gt;")</f>
      </c>
      <c r="Q222" s="1">
        <f>=HYPERLINK("10.175.1.14\MWEB.12\ERR\MetricGraphs.ERR.10.175.1.14.MWEB.12.xlsx", "&lt;Metrics&gt;")</f>
      </c>
      <c r="R222" s="0" t="s">
        <v>101</v>
      </c>
      <c r="S222" s="0" t="s">
        <v>145</v>
      </c>
      <c r="T222" s="0" t="s">
        <v>191</v>
      </c>
      <c r="U222" s="0" t="s">
        <v>114</v>
      </c>
    </row>
    <row r="223">
      <c r="A223" s="0" t="s">
        <v>28</v>
      </c>
      <c r="B223" s="0" t="s">
        <v>30</v>
      </c>
      <c r="C223" s="0" t="s">
        <v>190</v>
      </c>
      <c r="D223" s="0" t="s">
        <v>1761</v>
      </c>
      <c r="E223" s="0" t="s">
        <v>1635</v>
      </c>
      <c r="F223" s="0">
        <v>0</v>
      </c>
      <c r="G223" s="0">
        <v>2</v>
      </c>
      <c r="H223" s="0" t="s">
        <v>1762</v>
      </c>
      <c r="I223" s="0" t="s">
        <v>114</v>
      </c>
      <c r="J223" s="0" t="s">
        <v>114</v>
      </c>
      <c r="K223" s="0" t="s">
        <v>114</v>
      </c>
      <c r="L223" s="0" t="s">
        <v>114</v>
      </c>
      <c r="M223" s="0">
        <v>12</v>
      </c>
      <c r="N223" s="0">
        <v>56</v>
      </c>
      <c r="O223" s="0">
        <v>-520240</v>
      </c>
      <c r="P223" s="1">
        <f>=HYPERLINK("10.175.1.14\MWEB.12\ERR\EntityDetails.10.175.1.14.MWEB.12.weblogic.jdb.-520240.xlsx", "&lt;Detail&gt;")</f>
      </c>
      <c r="Q223" s="1">
        <f>=HYPERLINK("10.175.1.14\MWEB.12\ERR\MetricGraphs.ERR.10.175.1.14.MWEB.12.xlsx", "&lt;Metrics&gt;")</f>
      </c>
      <c r="R223" s="0" t="s">
        <v>101</v>
      </c>
      <c r="S223" s="0" t="s">
        <v>145</v>
      </c>
      <c r="T223" s="0" t="s">
        <v>191</v>
      </c>
      <c r="U223" s="0" t="s">
        <v>114</v>
      </c>
    </row>
    <row r="224">
      <c r="A224" s="0" t="s">
        <v>28</v>
      </c>
      <c r="B224" s="0" t="s">
        <v>30</v>
      </c>
      <c r="C224" s="0" t="s">
        <v>192</v>
      </c>
      <c r="D224" s="0" t="s">
        <v>1763</v>
      </c>
      <c r="E224" s="0" t="s">
        <v>1675</v>
      </c>
      <c r="F224" s="0">
        <v>0</v>
      </c>
      <c r="G224" s="0">
        <v>2</v>
      </c>
      <c r="H224" s="0" t="s">
        <v>1675</v>
      </c>
      <c r="I224" s="0" t="s">
        <v>114</v>
      </c>
      <c r="J224" s="0" t="s">
        <v>114</v>
      </c>
      <c r="K224" s="0" t="s">
        <v>114</v>
      </c>
      <c r="L224" s="0" t="s">
        <v>114</v>
      </c>
      <c r="M224" s="0">
        <v>12</v>
      </c>
      <c r="N224" s="0">
        <v>48</v>
      </c>
      <c r="O224" s="0">
        <v>-635110</v>
      </c>
      <c r="P224" s="1">
        <f>=HYPERLINK("10.175.1.14\MWEB.12\ERR\EntityDetails.10.175.1.14.MWEB.12.Error-.-635110.xlsx", "&lt;Detail&gt;")</f>
      </c>
      <c r="Q224" s="1">
        <f>=HYPERLINK("10.175.1.14\MWEB.12\ERR\MetricGraphs.ERR.10.175.1.14.MWEB.12.xlsx", "&lt;Metrics&gt;")</f>
      </c>
      <c r="R224" s="0" t="s">
        <v>101</v>
      </c>
      <c r="S224" s="0" t="s">
        <v>145</v>
      </c>
      <c r="T224" s="0" t="s">
        <v>193</v>
      </c>
      <c r="U224" s="0" t="s">
        <v>114</v>
      </c>
    </row>
    <row r="225">
      <c r="A225" s="0" t="s">
        <v>28</v>
      </c>
      <c r="B225" s="0" t="s">
        <v>30</v>
      </c>
      <c r="C225" s="0" t="s">
        <v>192</v>
      </c>
      <c r="D225" s="0" t="s">
        <v>1764</v>
      </c>
      <c r="E225" s="0" t="s">
        <v>1635</v>
      </c>
      <c r="F225" s="0">
        <v>0</v>
      </c>
      <c r="G225" s="0">
        <v>2</v>
      </c>
      <c r="H225" s="0" t="s">
        <v>1717</v>
      </c>
      <c r="I225" s="0" t="s">
        <v>114</v>
      </c>
      <c r="J225" s="0" t="s">
        <v>114</v>
      </c>
      <c r="K225" s="0" t="s">
        <v>114</v>
      </c>
      <c r="L225" s="0" t="s">
        <v>114</v>
      </c>
      <c r="M225" s="0">
        <v>12</v>
      </c>
      <c r="N225" s="0">
        <v>48</v>
      </c>
      <c r="O225" s="0">
        <v>-518064</v>
      </c>
      <c r="P225" s="1">
        <f>=HYPERLINK("10.175.1.14\MWEB.12\ERR\EntityDetails.10.175.1.14.MWEB.12.MSM_Exceptio.-518064.xlsx", "&lt;Detail&gt;")</f>
      </c>
      <c r="Q225" s="1">
        <f>=HYPERLINK("10.175.1.14\MWEB.12\ERR\MetricGraphs.ERR.10.175.1.14.MWEB.12.xlsx", "&lt;Metrics&gt;")</f>
      </c>
      <c r="R225" s="0" t="s">
        <v>101</v>
      </c>
      <c r="S225" s="0" t="s">
        <v>145</v>
      </c>
      <c r="T225" s="0" t="s">
        <v>193</v>
      </c>
      <c r="U225" s="0" t="s">
        <v>114</v>
      </c>
    </row>
    <row r="226">
      <c r="A226" s="0" t="s">
        <v>28</v>
      </c>
      <c r="B226" s="0" t="s">
        <v>30</v>
      </c>
      <c r="C226" s="0" t="s">
        <v>194</v>
      </c>
      <c r="D226" s="0" t="s">
        <v>1765</v>
      </c>
      <c r="E226" s="0" t="s">
        <v>1675</v>
      </c>
      <c r="F226" s="0">
        <v>0</v>
      </c>
      <c r="G226" s="0">
        <v>2</v>
      </c>
      <c r="H226" s="0" t="s">
        <v>1766</v>
      </c>
      <c r="I226" s="0" t="s">
        <v>1767</v>
      </c>
      <c r="J226" s="0" t="s">
        <v>114</v>
      </c>
      <c r="K226" s="0" t="s">
        <v>114</v>
      </c>
      <c r="L226" s="0" t="s">
        <v>114</v>
      </c>
      <c r="M226" s="0">
        <v>12</v>
      </c>
      <c r="N226" s="0">
        <v>55</v>
      </c>
      <c r="O226" s="0">
        <v>-516782</v>
      </c>
      <c r="P226" s="1">
        <f>=HYPERLINK("10.175.1.14\MWEB.12\ERR\EntityDetails.10.175.1.14.MWEB.12.Agent Intern.-516782.xlsx", "&lt;Detail&gt;")</f>
      </c>
      <c r="Q226" s="1">
        <f>=HYPERLINK("10.175.1.14\MWEB.12\ERR\MetricGraphs.ERR.10.175.1.14.MWEB.12.xlsx", "&lt;Metrics&gt;")</f>
      </c>
      <c r="R226" s="0" t="s">
        <v>101</v>
      </c>
      <c r="S226" s="0" t="s">
        <v>145</v>
      </c>
      <c r="T226" s="0" t="s">
        <v>195</v>
      </c>
      <c r="U226" s="0" t="s">
        <v>114</v>
      </c>
    </row>
    <row r="227">
      <c r="A227" s="0" t="s">
        <v>28</v>
      </c>
      <c r="B227" s="0" t="s">
        <v>30</v>
      </c>
      <c r="C227" s="0" t="s">
        <v>194</v>
      </c>
      <c r="D227" s="0" t="s">
        <v>1636</v>
      </c>
      <c r="E227" s="0" t="s">
        <v>1635</v>
      </c>
      <c r="F227" s="0">
        <v>0</v>
      </c>
      <c r="G227" s="0">
        <v>4</v>
      </c>
      <c r="H227" s="0" t="s">
        <v>1637</v>
      </c>
      <c r="I227" s="0" t="s">
        <v>1638</v>
      </c>
      <c r="J227" s="0" t="s">
        <v>1639</v>
      </c>
      <c r="K227" s="0" t="s">
        <v>114</v>
      </c>
      <c r="L227" s="0" t="s">
        <v>114</v>
      </c>
      <c r="M227" s="0">
        <v>12</v>
      </c>
      <c r="N227" s="0">
        <v>55</v>
      </c>
      <c r="O227" s="0">
        <v>-517811</v>
      </c>
      <c r="P227" s="1">
        <f>=HYPERLINK("10.175.1.14\MWEB.12\ERR\EntityDetails.10.175.1.14.MWEB.12.com.mysql.cj.-517811.xlsx", "&lt;Detail&gt;")</f>
      </c>
      <c r="Q227" s="1">
        <f>=HYPERLINK("10.175.1.14\MWEB.12\ERR\MetricGraphs.ERR.10.175.1.14.MWEB.12.xlsx", "&lt;Metrics&gt;")</f>
      </c>
      <c r="R227" s="0" t="s">
        <v>101</v>
      </c>
      <c r="S227" s="0" t="s">
        <v>145</v>
      </c>
      <c r="T227" s="0" t="s">
        <v>195</v>
      </c>
      <c r="U227" s="0" t="s">
        <v>114</v>
      </c>
    </row>
    <row r="228">
      <c r="A228" s="0" t="s">
        <v>28</v>
      </c>
      <c r="B228" s="0" t="s">
        <v>30</v>
      </c>
      <c r="C228" s="0" t="s">
        <v>194</v>
      </c>
      <c r="D228" s="0" t="s">
        <v>1642</v>
      </c>
      <c r="E228" s="0" t="s">
        <v>1635</v>
      </c>
      <c r="F228" s="0">
        <v>0</v>
      </c>
      <c r="G228" s="0">
        <v>5</v>
      </c>
      <c r="H228" s="0" t="s">
        <v>1637</v>
      </c>
      <c r="I228" s="0" t="s">
        <v>1638</v>
      </c>
      <c r="J228" s="0" t="s">
        <v>1643</v>
      </c>
      <c r="K228" s="0" t="s">
        <v>1641</v>
      </c>
      <c r="L228" s="0" t="s">
        <v>114</v>
      </c>
      <c r="M228" s="0">
        <v>12</v>
      </c>
      <c r="N228" s="0">
        <v>55</v>
      </c>
      <c r="O228" s="0">
        <v>-520254</v>
      </c>
      <c r="P228" s="1">
        <f>=HYPERLINK("10.175.1.14\MWEB.12\ERR\EntityDetails.10.175.1.14.MWEB.12.com.mysql.cj.-520254.xlsx", "&lt;Detail&gt;")</f>
      </c>
      <c r="Q228" s="1">
        <f>=HYPERLINK("10.175.1.14\MWEB.12\ERR\MetricGraphs.ERR.10.175.1.14.MWEB.12.xlsx", "&lt;Metrics&gt;")</f>
      </c>
      <c r="R228" s="0" t="s">
        <v>101</v>
      </c>
      <c r="S228" s="0" t="s">
        <v>145</v>
      </c>
      <c r="T228" s="0" t="s">
        <v>195</v>
      </c>
      <c r="U228" s="0" t="s">
        <v>114</v>
      </c>
    </row>
    <row r="229">
      <c r="A229" s="0" t="s">
        <v>28</v>
      </c>
      <c r="B229" s="0" t="s">
        <v>30</v>
      </c>
      <c r="C229" s="0" t="s">
        <v>194</v>
      </c>
      <c r="D229" s="0" t="s">
        <v>1644</v>
      </c>
      <c r="E229" s="0" t="s">
        <v>1635</v>
      </c>
      <c r="F229" s="0">
        <v>0</v>
      </c>
      <c r="G229" s="0">
        <v>2</v>
      </c>
      <c r="H229" s="0" t="s">
        <v>1645</v>
      </c>
      <c r="I229" s="0" t="s">
        <v>114</v>
      </c>
      <c r="J229" s="0" t="s">
        <v>114</v>
      </c>
      <c r="K229" s="0" t="s">
        <v>114</v>
      </c>
      <c r="L229" s="0" t="s">
        <v>114</v>
      </c>
      <c r="M229" s="0">
        <v>12</v>
      </c>
      <c r="N229" s="0">
        <v>55</v>
      </c>
      <c r="O229" s="0">
        <v>-632558</v>
      </c>
      <c r="P229" s="1">
        <f>=HYPERLINK("10.175.1.14\MWEB.12\ERR\EntityDetails.10.175.1.14.MWEB.12.com.mysql.cj.-632558.xlsx", "&lt;Detail&gt;")</f>
      </c>
      <c r="Q229" s="1">
        <f>=HYPERLINK("10.175.1.14\MWEB.12\ERR\MetricGraphs.ERR.10.175.1.14.MWEB.12.xlsx", "&lt;Metrics&gt;")</f>
      </c>
      <c r="R229" s="0" t="s">
        <v>101</v>
      </c>
      <c r="S229" s="0" t="s">
        <v>145</v>
      </c>
      <c r="T229" s="0" t="s">
        <v>195</v>
      </c>
      <c r="U229" s="0" t="s">
        <v>114</v>
      </c>
    </row>
    <row r="230">
      <c r="A230" s="0" t="s">
        <v>28</v>
      </c>
      <c r="B230" s="0" t="s">
        <v>30</v>
      </c>
      <c r="C230" s="0" t="s">
        <v>194</v>
      </c>
      <c r="D230" s="0" t="s">
        <v>1646</v>
      </c>
      <c r="E230" s="0" t="s">
        <v>1647</v>
      </c>
      <c r="F230" s="0">
        <v>400</v>
      </c>
      <c r="G230" s="0">
        <v>2</v>
      </c>
      <c r="H230" s="0" t="s">
        <v>1648</v>
      </c>
      <c r="I230" s="0" t="s">
        <v>1649</v>
      </c>
      <c r="J230" s="0" t="s">
        <v>114</v>
      </c>
      <c r="K230" s="0" t="s">
        <v>114</v>
      </c>
      <c r="L230" s="0" t="s">
        <v>114</v>
      </c>
      <c r="M230" s="0">
        <v>12</v>
      </c>
      <c r="N230" s="0">
        <v>55</v>
      </c>
      <c r="O230" s="0">
        <v>-631975</v>
      </c>
      <c r="P230" s="1">
        <f>=HYPERLINK("10.175.1.14\MWEB.12\ERR\EntityDetails.10.175.1.14.MWEB.12.HTTP Error C.-631975.xlsx", "&lt;Detail&gt;")</f>
      </c>
      <c r="Q230" s="1">
        <f>=HYPERLINK("10.175.1.14\MWEB.12\ERR\MetricGraphs.ERR.10.175.1.14.MWEB.12.xlsx", "&lt;Metrics&gt;")</f>
      </c>
      <c r="R230" s="0" t="s">
        <v>101</v>
      </c>
      <c r="S230" s="0" t="s">
        <v>145</v>
      </c>
      <c r="T230" s="0" t="s">
        <v>195</v>
      </c>
      <c r="U230" s="0" t="s">
        <v>114</v>
      </c>
    </row>
    <row r="231">
      <c r="A231" s="0" t="s">
        <v>28</v>
      </c>
      <c r="B231" s="0" t="s">
        <v>30</v>
      </c>
      <c r="C231" s="0" t="s">
        <v>194</v>
      </c>
      <c r="D231" s="0" t="s">
        <v>1652</v>
      </c>
      <c r="E231" s="0" t="s">
        <v>1647</v>
      </c>
      <c r="F231" s="0">
        <v>501</v>
      </c>
      <c r="G231" s="0">
        <v>2</v>
      </c>
      <c r="H231" s="0" t="s">
        <v>1648</v>
      </c>
      <c r="I231" s="0" t="s">
        <v>1653</v>
      </c>
      <c r="J231" s="0" t="s">
        <v>114</v>
      </c>
      <c r="K231" s="0" t="s">
        <v>114</v>
      </c>
      <c r="L231" s="0" t="s">
        <v>114</v>
      </c>
      <c r="M231" s="0">
        <v>12</v>
      </c>
      <c r="N231" s="0">
        <v>55</v>
      </c>
      <c r="O231" s="0">
        <v>-631977</v>
      </c>
      <c r="P231" s="1">
        <f>=HYPERLINK("10.175.1.14\MWEB.12\ERR\EntityDetails.10.175.1.14.MWEB.12.HTTP Error C.-631977.xlsx", "&lt;Detail&gt;")</f>
      </c>
      <c r="Q231" s="1">
        <f>=HYPERLINK("10.175.1.14\MWEB.12\ERR\MetricGraphs.ERR.10.175.1.14.MWEB.12.xlsx", "&lt;Metrics&gt;")</f>
      </c>
      <c r="R231" s="0" t="s">
        <v>101</v>
      </c>
      <c r="S231" s="0" t="s">
        <v>145</v>
      </c>
      <c r="T231" s="0" t="s">
        <v>195</v>
      </c>
      <c r="U231" s="0" t="s">
        <v>114</v>
      </c>
    </row>
    <row r="232">
      <c r="A232" s="0" t="s">
        <v>28</v>
      </c>
      <c r="B232" s="0" t="s">
        <v>30</v>
      </c>
      <c r="C232" s="0" t="s">
        <v>194</v>
      </c>
      <c r="D232" s="0" t="s">
        <v>1654</v>
      </c>
      <c r="E232" s="0" t="s">
        <v>1647</v>
      </c>
      <c r="F232" s="0">
        <v>503</v>
      </c>
      <c r="G232" s="0">
        <v>2</v>
      </c>
      <c r="H232" s="0" t="s">
        <v>1648</v>
      </c>
      <c r="I232" s="0" t="s">
        <v>1655</v>
      </c>
      <c r="J232" s="0" t="s">
        <v>114</v>
      </c>
      <c r="K232" s="0" t="s">
        <v>114</v>
      </c>
      <c r="L232" s="0" t="s">
        <v>114</v>
      </c>
      <c r="M232" s="0">
        <v>12</v>
      </c>
      <c r="N232" s="0">
        <v>55</v>
      </c>
      <c r="O232" s="0">
        <v>-632310</v>
      </c>
      <c r="P232" s="1">
        <f>=HYPERLINK("10.175.1.14\MWEB.12\ERR\EntityDetails.10.175.1.14.MWEB.12.HTTP Error C.-632310.xlsx", "&lt;Detail&gt;")</f>
      </c>
      <c r="Q232" s="1">
        <f>=HYPERLINK("10.175.1.14\MWEB.12\ERR\MetricGraphs.ERR.10.175.1.14.MWEB.12.xlsx", "&lt;Metrics&gt;")</f>
      </c>
      <c r="R232" s="0" t="s">
        <v>101</v>
      </c>
      <c r="S232" s="0" t="s">
        <v>145</v>
      </c>
      <c r="T232" s="0" t="s">
        <v>195</v>
      </c>
      <c r="U232" s="0" t="s">
        <v>114</v>
      </c>
    </row>
    <row r="233">
      <c r="A233" s="0" t="s">
        <v>28</v>
      </c>
      <c r="B233" s="0" t="s">
        <v>30</v>
      </c>
      <c r="C233" s="0" t="s">
        <v>194</v>
      </c>
      <c r="D233" s="0" t="s">
        <v>1656</v>
      </c>
      <c r="E233" s="0" t="s">
        <v>1647</v>
      </c>
      <c r="F233" s="0">
        <v>505</v>
      </c>
      <c r="G233" s="0">
        <v>2</v>
      </c>
      <c r="H233" s="0" t="s">
        <v>1648</v>
      </c>
      <c r="I233" s="0" t="s">
        <v>1657</v>
      </c>
      <c r="J233" s="0" t="s">
        <v>114</v>
      </c>
      <c r="K233" s="0" t="s">
        <v>114</v>
      </c>
      <c r="L233" s="0" t="s">
        <v>114</v>
      </c>
      <c r="M233" s="0">
        <v>12</v>
      </c>
      <c r="N233" s="0">
        <v>55</v>
      </c>
      <c r="O233" s="0">
        <v>-631973</v>
      </c>
      <c r="P233" s="1">
        <f>=HYPERLINK("10.175.1.14\MWEB.12\ERR\EntityDetails.10.175.1.14.MWEB.12.HTTP Error C.-631973.xlsx", "&lt;Detail&gt;")</f>
      </c>
      <c r="Q233" s="1">
        <f>=HYPERLINK("10.175.1.14\MWEB.12\ERR\MetricGraphs.ERR.10.175.1.14.MWEB.12.xlsx", "&lt;Metrics&gt;")</f>
      </c>
      <c r="R233" s="0" t="s">
        <v>101</v>
      </c>
      <c r="S233" s="0" t="s">
        <v>145</v>
      </c>
      <c r="T233" s="0" t="s">
        <v>195</v>
      </c>
      <c r="U233" s="0" t="s">
        <v>114</v>
      </c>
    </row>
    <row r="234">
      <c r="A234" s="0" t="s">
        <v>28</v>
      </c>
      <c r="B234" s="0" t="s">
        <v>30</v>
      </c>
      <c r="C234" s="0" t="s">
        <v>194</v>
      </c>
      <c r="D234" s="0" t="s">
        <v>1658</v>
      </c>
      <c r="E234" s="0" t="s">
        <v>1647</v>
      </c>
      <c r="F234" s="0">
        <v>500</v>
      </c>
      <c r="G234" s="0">
        <v>2</v>
      </c>
      <c r="H234" s="0" t="s">
        <v>1659</v>
      </c>
      <c r="I234" s="0" t="s">
        <v>1660</v>
      </c>
      <c r="J234" s="0" t="s">
        <v>114</v>
      </c>
      <c r="K234" s="0" t="s">
        <v>114</v>
      </c>
      <c r="L234" s="0" t="s">
        <v>114</v>
      </c>
      <c r="M234" s="0">
        <v>12</v>
      </c>
      <c r="N234" s="0">
        <v>55</v>
      </c>
      <c r="O234" s="0">
        <v>-516527</v>
      </c>
      <c r="P234" s="1">
        <f>=HYPERLINK("10.175.1.14\MWEB.12\ERR\EntityDetails.10.175.1.14.MWEB.12.Internal Ser.-516527.xlsx", "&lt;Detail&gt;")</f>
      </c>
      <c r="Q234" s="1">
        <f>=HYPERLINK("10.175.1.14\MWEB.12\ERR\MetricGraphs.ERR.10.175.1.14.MWEB.12.xlsx", "&lt;Metrics&gt;")</f>
      </c>
      <c r="R234" s="0" t="s">
        <v>101</v>
      </c>
      <c r="S234" s="0" t="s">
        <v>145</v>
      </c>
      <c r="T234" s="0" t="s">
        <v>195</v>
      </c>
      <c r="U234" s="0" t="s">
        <v>114</v>
      </c>
    </row>
    <row r="235">
      <c r="A235" s="0" t="s">
        <v>28</v>
      </c>
      <c r="B235" s="0" t="s">
        <v>30</v>
      </c>
      <c r="C235" s="0" t="s">
        <v>194</v>
      </c>
      <c r="D235" s="0" t="s">
        <v>1768</v>
      </c>
      <c r="E235" s="0" t="s">
        <v>1635</v>
      </c>
      <c r="F235" s="0">
        <v>0</v>
      </c>
      <c r="G235" s="0">
        <v>4</v>
      </c>
      <c r="H235" s="0" t="s">
        <v>1668</v>
      </c>
      <c r="I235" s="0" t="s">
        <v>1668</v>
      </c>
      <c r="J235" s="0" t="s">
        <v>1668</v>
      </c>
      <c r="K235" s="0" t="s">
        <v>114</v>
      </c>
      <c r="L235" s="0" t="s">
        <v>114</v>
      </c>
      <c r="M235" s="0">
        <v>12</v>
      </c>
      <c r="N235" s="0">
        <v>55</v>
      </c>
      <c r="O235" s="0">
        <v>-633202</v>
      </c>
      <c r="P235" s="1">
        <f>=HYPERLINK("10.175.1.14\MWEB.12\ERR\EntityDetails.10.175.1.14.MWEB.12.java.rmi.Con.-633202.xlsx", "&lt;Detail&gt;")</f>
      </c>
      <c r="Q235" s="1">
        <f>=HYPERLINK("10.175.1.14\MWEB.12\ERR\MetricGraphs.ERR.10.175.1.14.MWEB.12.xlsx", "&lt;Metrics&gt;")</f>
      </c>
      <c r="R235" s="0" t="s">
        <v>101</v>
      </c>
      <c r="S235" s="0" t="s">
        <v>145</v>
      </c>
      <c r="T235" s="0" t="s">
        <v>195</v>
      </c>
      <c r="U235" s="0" t="s">
        <v>114</v>
      </c>
    </row>
    <row r="236">
      <c r="A236" s="0" t="s">
        <v>28</v>
      </c>
      <c r="B236" s="0" t="s">
        <v>30</v>
      </c>
      <c r="C236" s="0" t="s">
        <v>194</v>
      </c>
      <c r="D236" s="0" t="s">
        <v>1726</v>
      </c>
      <c r="E236" s="0" t="s">
        <v>1635</v>
      </c>
      <c r="F236" s="0">
        <v>0</v>
      </c>
      <c r="G236" s="0">
        <v>2</v>
      </c>
      <c r="H236" s="0" t="s">
        <v>1727</v>
      </c>
      <c r="I236" s="0" t="s">
        <v>114</v>
      </c>
      <c r="J236" s="0" t="s">
        <v>114</v>
      </c>
      <c r="K236" s="0" t="s">
        <v>114</v>
      </c>
      <c r="L236" s="0" t="s">
        <v>114</v>
      </c>
      <c r="M236" s="0">
        <v>12</v>
      </c>
      <c r="N236" s="0">
        <v>55</v>
      </c>
      <c r="O236" s="0">
        <v>-517774</v>
      </c>
      <c r="P236" s="1">
        <f>=HYPERLINK("10.175.1.14\MWEB.12\ERR\EntityDetails.10.175.1.14.MWEB.12.java.sql.SQL.-517774.xlsx", "&lt;Detail&gt;")</f>
      </c>
      <c r="Q236" s="1">
        <f>=HYPERLINK("10.175.1.14\MWEB.12\ERR\MetricGraphs.ERR.10.175.1.14.MWEB.12.xlsx", "&lt;Metrics&gt;")</f>
      </c>
      <c r="R236" s="0" t="s">
        <v>101</v>
      </c>
      <c r="S236" s="0" t="s">
        <v>145</v>
      </c>
      <c r="T236" s="0" t="s">
        <v>195</v>
      </c>
      <c r="U236" s="0" t="s">
        <v>114</v>
      </c>
    </row>
    <row r="237">
      <c r="A237" s="0" t="s">
        <v>28</v>
      </c>
      <c r="B237" s="0" t="s">
        <v>30</v>
      </c>
      <c r="C237" s="0" t="s">
        <v>194</v>
      </c>
      <c r="D237" s="0" t="s">
        <v>1728</v>
      </c>
      <c r="E237" s="0" t="s">
        <v>1635</v>
      </c>
      <c r="F237" s="0">
        <v>0</v>
      </c>
      <c r="G237" s="0">
        <v>2</v>
      </c>
      <c r="H237" s="0" t="s">
        <v>1729</v>
      </c>
      <c r="I237" s="0" t="s">
        <v>114</v>
      </c>
      <c r="J237" s="0" t="s">
        <v>114</v>
      </c>
      <c r="K237" s="0" t="s">
        <v>114</v>
      </c>
      <c r="L237" s="0" t="s">
        <v>114</v>
      </c>
      <c r="M237" s="0">
        <v>12</v>
      </c>
      <c r="N237" s="0">
        <v>55</v>
      </c>
      <c r="O237" s="0">
        <v>-632338</v>
      </c>
      <c r="P237" s="1">
        <f>=HYPERLINK("10.175.1.14\MWEB.12\ERR\EntityDetails.10.175.1.14.MWEB.12.java.sql.SQL.-632338.xlsx", "&lt;Detail&gt;")</f>
      </c>
      <c r="Q237" s="1">
        <f>=HYPERLINK("10.175.1.14\MWEB.12\ERR\MetricGraphs.ERR.10.175.1.14.MWEB.12.xlsx", "&lt;Metrics&gt;")</f>
      </c>
      <c r="R237" s="0" t="s">
        <v>101</v>
      </c>
      <c r="S237" s="0" t="s">
        <v>145</v>
      </c>
      <c r="T237" s="0" t="s">
        <v>195</v>
      </c>
      <c r="U237" s="0" t="s">
        <v>114</v>
      </c>
    </row>
    <row r="238">
      <c r="A238" s="0" t="s">
        <v>28</v>
      </c>
      <c r="B238" s="0" t="s">
        <v>30</v>
      </c>
      <c r="C238" s="0" t="s">
        <v>194</v>
      </c>
      <c r="D238" s="0" t="s">
        <v>1769</v>
      </c>
      <c r="E238" s="0" t="s">
        <v>1635</v>
      </c>
      <c r="F238" s="0">
        <v>0</v>
      </c>
      <c r="G238" s="0">
        <v>5</v>
      </c>
      <c r="H238" s="0" t="s">
        <v>1729</v>
      </c>
      <c r="I238" s="0" t="s">
        <v>1770</v>
      </c>
      <c r="J238" s="0" t="s">
        <v>1638</v>
      </c>
      <c r="K238" s="0" t="s">
        <v>1639</v>
      </c>
      <c r="L238" s="0" t="s">
        <v>114</v>
      </c>
      <c r="M238" s="0">
        <v>12</v>
      </c>
      <c r="N238" s="0">
        <v>55</v>
      </c>
      <c r="O238" s="0">
        <v>-517813</v>
      </c>
      <c r="P238" s="1">
        <f>=HYPERLINK("10.175.1.14\MWEB.12\ERR\EntityDetails.10.175.1.14.MWEB.12.java.sql.SQL.-517813.xlsx", "&lt;Detail&gt;")</f>
      </c>
      <c r="Q238" s="1">
        <f>=HYPERLINK("10.175.1.14\MWEB.12\ERR\MetricGraphs.ERR.10.175.1.14.MWEB.12.xlsx", "&lt;Metrics&gt;")</f>
      </c>
      <c r="R238" s="0" t="s">
        <v>101</v>
      </c>
      <c r="S238" s="0" t="s">
        <v>145</v>
      </c>
      <c r="T238" s="0" t="s">
        <v>195</v>
      </c>
      <c r="U238" s="0" t="s">
        <v>114</v>
      </c>
    </row>
    <row r="239">
      <c r="A239" s="0" t="s">
        <v>28</v>
      </c>
      <c r="B239" s="0" t="s">
        <v>30</v>
      </c>
      <c r="C239" s="0" t="s">
        <v>194</v>
      </c>
      <c r="D239" s="0" t="s">
        <v>1771</v>
      </c>
      <c r="E239" s="0" t="s">
        <v>1635</v>
      </c>
      <c r="F239" s="0">
        <v>0</v>
      </c>
      <c r="G239" s="0">
        <v>6</v>
      </c>
      <c r="H239" s="0" t="s">
        <v>1729</v>
      </c>
      <c r="I239" s="0" t="s">
        <v>1770</v>
      </c>
      <c r="J239" s="0" t="s">
        <v>1638</v>
      </c>
      <c r="K239" s="0" t="s">
        <v>1643</v>
      </c>
      <c r="L239" s="0" t="s">
        <v>1641</v>
      </c>
      <c r="M239" s="0">
        <v>12</v>
      </c>
      <c r="N239" s="0">
        <v>55</v>
      </c>
      <c r="O239" s="0">
        <v>-520256</v>
      </c>
      <c r="P239" s="1">
        <f>=HYPERLINK("10.175.1.14\MWEB.12\ERR\EntityDetails.10.175.1.14.MWEB.12.java.sql.SQL.-520256.xlsx", "&lt;Detail&gt;")</f>
      </c>
      <c r="Q239" s="1">
        <f>=HYPERLINK("10.175.1.14\MWEB.12\ERR\MetricGraphs.ERR.10.175.1.14.MWEB.12.xlsx", "&lt;Metrics&gt;")</f>
      </c>
      <c r="R239" s="0" t="s">
        <v>101</v>
      </c>
      <c r="S239" s="0" t="s">
        <v>145</v>
      </c>
      <c r="T239" s="0" t="s">
        <v>195</v>
      </c>
      <c r="U239" s="0" t="s">
        <v>114</v>
      </c>
    </row>
    <row r="240">
      <c r="A240" s="0" t="s">
        <v>28</v>
      </c>
      <c r="B240" s="0" t="s">
        <v>30</v>
      </c>
      <c r="C240" s="0" t="s">
        <v>194</v>
      </c>
      <c r="D240" s="0" t="s">
        <v>1672</v>
      </c>
      <c r="E240" s="0" t="s">
        <v>1635</v>
      </c>
      <c r="F240" s="0">
        <v>0</v>
      </c>
      <c r="G240" s="0">
        <v>2</v>
      </c>
      <c r="H240" s="0" t="s">
        <v>1673</v>
      </c>
      <c r="I240" s="0" t="s">
        <v>114</v>
      </c>
      <c r="J240" s="0" t="s">
        <v>114</v>
      </c>
      <c r="K240" s="0" t="s">
        <v>114</v>
      </c>
      <c r="L240" s="0" t="s">
        <v>114</v>
      </c>
      <c r="M240" s="0">
        <v>12</v>
      </c>
      <c r="N240" s="0">
        <v>55</v>
      </c>
      <c r="O240" s="0">
        <v>-519131</v>
      </c>
      <c r="P240" s="1">
        <f>=HYPERLINK("10.175.1.14\MWEB.12\ERR\EntityDetails.10.175.1.14.MWEB.12.java.sql.SQL.-519131.xlsx", "&lt;Detail&gt;")</f>
      </c>
      <c r="Q240" s="1">
        <f>=HYPERLINK("10.175.1.14\MWEB.12\ERR\MetricGraphs.ERR.10.175.1.14.MWEB.12.xlsx", "&lt;Metrics&gt;")</f>
      </c>
      <c r="R240" s="0" t="s">
        <v>101</v>
      </c>
      <c r="S240" s="0" t="s">
        <v>145</v>
      </c>
      <c r="T240" s="0" t="s">
        <v>195</v>
      </c>
      <c r="U240" s="0" t="s">
        <v>114</v>
      </c>
    </row>
    <row r="241">
      <c r="A241" s="0" t="s">
        <v>28</v>
      </c>
      <c r="B241" s="0" t="s">
        <v>30</v>
      </c>
      <c r="C241" s="0" t="s">
        <v>194</v>
      </c>
      <c r="D241" s="0" t="s">
        <v>1677</v>
      </c>
      <c r="E241" s="0" t="s">
        <v>1647</v>
      </c>
      <c r="F241" s="0">
        <v>404</v>
      </c>
      <c r="G241" s="0">
        <v>2</v>
      </c>
      <c r="H241" s="0" t="s">
        <v>1678</v>
      </c>
      <c r="I241" s="0" t="s">
        <v>1679</v>
      </c>
      <c r="J241" s="0" t="s">
        <v>114</v>
      </c>
      <c r="K241" s="0" t="s">
        <v>114</v>
      </c>
      <c r="L241" s="0" t="s">
        <v>114</v>
      </c>
      <c r="M241" s="0">
        <v>12</v>
      </c>
      <c r="N241" s="0">
        <v>55</v>
      </c>
      <c r="O241" s="0">
        <v>-631971</v>
      </c>
      <c r="P241" s="1">
        <f>=HYPERLINK("10.175.1.14\MWEB.12\ERR\EntityDetails.10.175.1.14.MWEB.12.Page Not Fou.-631971.xlsx", "&lt;Detail&gt;")</f>
      </c>
      <c r="Q241" s="1">
        <f>=HYPERLINK("10.175.1.14\MWEB.12\ERR\MetricGraphs.ERR.10.175.1.14.MWEB.12.xlsx", "&lt;Metrics&gt;")</f>
      </c>
      <c r="R241" s="0" t="s">
        <v>101</v>
      </c>
      <c r="S241" s="0" t="s">
        <v>145</v>
      </c>
      <c r="T241" s="0" t="s">
        <v>195</v>
      </c>
      <c r="U241" s="0" t="s">
        <v>114</v>
      </c>
    </row>
    <row r="242">
      <c r="A242" s="0" t="s">
        <v>28</v>
      </c>
      <c r="B242" s="0" t="s">
        <v>30</v>
      </c>
      <c r="C242" s="0" t="s">
        <v>194</v>
      </c>
      <c r="D242" s="0" t="s">
        <v>1683</v>
      </c>
      <c r="E242" s="0" t="s">
        <v>1647</v>
      </c>
      <c r="F242" s="0">
        <v>401</v>
      </c>
      <c r="G242" s="0">
        <v>2</v>
      </c>
      <c r="H242" s="0" t="s">
        <v>1684</v>
      </c>
      <c r="I242" s="0" t="s">
        <v>1685</v>
      </c>
      <c r="J242" s="0" t="s">
        <v>114</v>
      </c>
      <c r="K242" s="0" t="s">
        <v>114</v>
      </c>
      <c r="L242" s="0" t="s">
        <v>114</v>
      </c>
      <c r="M242" s="0">
        <v>12</v>
      </c>
      <c r="N242" s="0">
        <v>55</v>
      </c>
      <c r="O242" s="0">
        <v>-516779</v>
      </c>
      <c r="P242" s="1">
        <f>=HYPERLINK("10.175.1.14\MWEB.12\ERR\EntityDetails.10.175.1.14.MWEB.12.Unauthorized.-516779.xlsx", "&lt;Detail&gt;")</f>
      </c>
      <c r="Q242" s="1">
        <f>=HYPERLINK("10.175.1.14\MWEB.12\ERR\MetricGraphs.ERR.10.175.1.14.MWEB.12.xlsx", "&lt;Metrics&gt;")</f>
      </c>
      <c r="R242" s="0" t="s">
        <v>101</v>
      </c>
      <c r="S242" s="0" t="s">
        <v>145</v>
      </c>
      <c r="T242" s="0" t="s">
        <v>195</v>
      </c>
      <c r="U242" s="0" t="s">
        <v>114</v>
      </c>
    </row>
    <row r="243">
      <c r="A243" s="0" t="s">
        <v>28</v>
      </c>
      <c r="B243" s="0" t="s">
        <v>30</v>
      </c>
      <c r="C243" s="0" t="s">
        <v>194</v>
      </c>
      <c r="D243" s="0" t="s">
        <v>1687</v>
      </c>
      <c r="E243" s="0" t="s">
        <v>1635</v>
      </c>
      <c r="F243" s="0">
        <v>0</v>
      </c>
      <c r="G243" s="0">
        <v>2</v>
      </c>
      <c r="H243" s="0" t="s">
        <v>1688</v>
      </c>
      <c r="I243" s="0" t="s">
        <v>114</v>
      </c>
      <c r="J243" s="0" t="s">
        <v>114</v>
      </c>
      <c r="K243" s="0" t="s">
        <v>114</v>
      </c>
      <c r="L243" s="0" t="s">
        <v>114</v>
      </c>
      <c r="M243" s="0">
        <v>12</v>
      </c>
      <c r="N243" s="0">
        <v>55</v>
      </c>
      <c r="O243" s="0">
        <v>-518058</v>
      </c>
      <c r="P243" s="1">
        <f>=HYPERLINK("10.175.1.14\MWEB.12\ERR\EntityDetails.10.175.1.14.MWEB.12.weblogic.jdb.-518058.xlsx", "&lt;Detail&gt;")</f>
      </c>
      <c r="Q243" s="1">
        <f>=HYPERLINK("10.175.1.14\MWEB.12\ERR\MetricGraphs.ERR.10.175.1.14.MWEB.12.xlsx", "&lt;Metrics&gt;")</f>
      </c>
      <c r="R243" s="0" t="s">
        <v>101</v>
      </c>
      <c r="S243" s="0" t="s">
        <v>145</v>
      </c>
      <c r="T243" s="0" t="s">
        <v>195</v>
      </c>
      <c r="U243" s="0" t="s">
        <v>114</v>
      </c>
    </row>
    <row r="244">
      <c r="A244" s="0" t="s">
        <v>28</v>
      </c>
      <c r="B244" s="0" t="s">
        <v>30</v>
      </c>
      <c r="C244" s="0" t="s">
        <v>194</v>
      </c>
      <c r="D244" s="0" t="s">
        <v>1759</v>
      </c>
      <c r="E244" s="0" t="s">
        <v>1635</v>
      </c>
      <c r="F244" s="0">
        <v>0</v>
      </c>
      <c r="G244" s="0">
        <v>2</v>
      </c>
      <c r="H244" s="0" t="s">
        <v>1760</v>
      </c>
      <c r="I244" s="0" t="s">
        <v>114</v>
      </c>
      <c r="J244" s="0" t="s">
        <v>114</v>
      </c>
      <c r="K244" s="0" t="s">
        <v>114</v>
      </c>
      <c r="L244" s="0" t="s">
        <v>114</v>
      </c>
      <c r="M244" s="0">
        <v>12</v>
      </c>
      <c r="N244" s="0">
        <v>55</v>
      </c>
      <c r="O244" s="0">
        <v>-517776</v>
      </c>
      <c r="P244" s="1">
        <f>=HYPERLINK("10.175.1.14\MWEB.12\ERR\EntityDetails.10.175.1.14.MWEB.12.weblogic.jdb.-517776.xlsx", "&lt;Detail&gt;")</f>
      </c>
      <c r="Q244" s="1">
        <f>=HYPERLINK("10.175.1.14\MWEB.12\ERR\MetricGraphs.ERR.10.175.1.14.MWEB.12.xlsx", "&lt;Metrics&gt;")</f>
      </c>
      <c r="R244" s="0" t="s">
        <v>101</v>
      </c>
      <c r="S244" s="0" t="s">
        <v>145</v>
      </c>
      <c r="T244" s="0" t="s">
        <v>195</v>
      </c>
      <c r="U244" s="0" t="s">
        <v>114</v>
      </c>
    </row>
    <row r="245">
      <c r="A245" s="0" t="s">
        <v>28</v>
      </c>
      <c r="B245" s="0" t="s">
        <v>30</v>
      </c>
      <c r="C245" s="0" t="s">
        <v>194</v>
      </c>
      <c r="D245" s="0" t="s">
        <v>1772</v>
      </c>
      <c r="E245" s="0" t="s">
        <v>1635</v>
      </c>
      <c r="F245" s="0">
        <v>0</v>
      </c>
      <c r="G245" s="0">
        <v>7</v>
      </c>
      <c r="H245" s="0" t="s">
        <v>1773</v>
      </c>
      <c r="I245" s="0" t="s">
        <v>1773</v>
      </c>
      <c r="J245" s="0" t="s">
        <v>1773</v>
      </c>
      <c r="K245" s="0" t="s">
        <v>1773</v>
      </c>
      <c r="L245" s="0" t="s">
        <v>1773</v>
      </c>
      <c r="M245" s="0">
        <v>12</v>
      </c>
      <c r="N245" s="0">
        <v>55</v>
      </c>
      <c r="O245" s="0">
        <v>-632336</v>
      </c>
      <c r="P245" s="1">
        <f>=HYPERLINK("10.175.1.14\MWEB.12\ERR\EntityDetails.10.175.1.14.MWEB.12.weblogic.jms.-632336.xlsx", "&lt;Detail&gt;")</f>
      </c>
      <c r="Q245" s="1">
        <f>=HYPERLINK("10.175.1.14\MWEB.12\ERR\MetricGraphs.ERR.10.175.1.14.MWEB.12.xlsx", "&lt;Metrics&gt;")</f>
      </c>
      <c r="R245" s="0" t="s">
        <v>101</v>
      </c>
      <c r="S245" s="0" t="s">
        <v>145</v>
      </c>
      <c r="T245" s="0" t="s">
        <v>195</v>
      </c>
      <c r="U245" s="0" t="s">
        <v>114</v>
      </c>
    </row>
    <row r="246">
      <c r="A246" s="0" t="s">
        <v>28</v>
      </c>
      <c r="B246" s="0" t="s">
        <v>30</v>
      </c>
      <c r="C246" s="0" t="s">
        <v>196</v>
      </c>
      <c r="D246" s="0" t="s">
        <v>1774</v>
      </c>
      <c r="E246" s="0" t="s">
        <v>1635</v>
      </c>
      <c r="F246" s="0">
        <v>0</v>
      </c>
      <c r="G246" s="0">
        <v>2</v>
      </c>
      <c r="H246" s="0" t="s">
        <v>1775</v>
      </c>
      <c r="I246" s="0" t="s">
        <v>114</v>
      </c>
      <c r="J246" s="0" t="s">
        <v>114</v>
      </c>
      <c r="K246" s="0" t="s">
        <v>114</v>
      </c>
      <c r="L246" s="0" t="s">
        <v>114</v>
      </c>
      <c r="M246" s="0">
        <v>12</v>
      </c>
      <c r="N246" s="0">
        <v>47</v>
      </c>
      <c r="O246" s="0">
        <v>-517508</v>
      </c>
      <c r="P246" s="1">
        <f>=HYPERLINK("10.175.1.14\MWEB.12\ERR\EntityDetails.10.175.1.14.MWEB.12.com.ibm.mq.h.-517508.xlsx", "&lt;Detail&gt;")</f>
      </c>
      <c r="Q246" s="1">
        <f>=HYPERLINK("10.175.1.14\MWEB.12\ERR\MetricGraphs.ERR.10.175.1.14.MWEB.12.xlsx", "&lt;Metrics&gt;")</f>
      </c>
      <c r="R246" s="0" t="s">
        <v>101</v>
      </c>
      <c r="S246" s="0" t="s">
        <v>145</v>
      </c>
      <c r="T246" s="0" t="s">
        <v>197</v>
      </c>
      <c r="U246" s="0" t="s">
        <v>114</v>
      </c>
    </row>
    <row r="247">
      <c r="A247" s="0" t="s">
        <v>28</v>
      </c>
      <c r="B247" s="0" t="s">
        <v>30</v>
      </c>
      <c r="C247" s="0" t="s">
        <v>196</v>
      </c>
      <c r="D247" s="0" t="s">
        <v>1776</v>
      </c>
      <c r="E247" s="0" t="s">
        <v>1635</v>
      </c>
      <c r="F247" s="0">
        <v>0</v>
      </c>
      <c r="G247" s="0">
        <v>2</v>
      </c>
      <c r="H247" s="0" t="s">
        <v>1777</v>
      </c>
      <c r="I247" s="0" t="s">
        <v>114</v>
      </c>
      <c r="J247" s="0" t="s">
        <v>114</v>
      </c>
      <c r="K247" s="0" t="s">
        <v>114</v>
      </c>
      <c r="L247" s="0" t="s">
        <v>114</v>
      </c>
      <c r="M247" s="0">
        <v>12</v>
      </c>
      <c r="N247" s="0">
        <v>47</v>
      </c>
      <c r="O247" s="0">
        <v>-518306</v>
      </c>
      <c r="P247" s="1">
        <f>=HYPERLINK("10.175.1.14\MWEB.12\ERR\EntityDetails.10.175.1.14.MWEB.12.com.ibm.mq.M.-518306.xlsx", "&lt;Detail&gt;")</f>
      </c>
      <c r="Q247" s="1">
        <f>=HYPERLINK("10.175.1.14\MWEB.12\ERR\MetricGraphs.ERR.10.175.1.14.MWEB.12.xlsx", "&lt;Metrics&gt;")</f>
      </c>
      <c r="R247" s="0" t="s">
        <v>101</v>
      </c>
      <c r="S247" s="0" t="s">
        <v>145</v>
      </c>
      <c r="T247" s="0" t="s">
        <v>197</v>
      </c>
      <c r="U247" s="0" t="s">
        <v>114</v>
      </c>
    </row>
    <row r="248">
      <c r="A248" s="0" t="s">
        <v>28</v>
      </c>
      <c r="B248" s="0" t="s">
        <v>30</v>
      </c>
      <c r="C248" s="0" t="s">
        <v>196</v>
      </c>
      <c r="D248" s="0" t="s">
        <v>1778</v>
      </c>
      <c r="E248" s="0" t="s">
        <v>1635</v>
      </c>
      <c r="F248" s="0">
        <v>0</v>
      </c>
      <c r="G248" s="0">
        <v>2</v>
      </c>
      <c r="H248" s="0" t="s">
        <v>1779</v>
      </c>
      <c r="I248" s="0" t="s">
        <v>114</v>
      </c>
      <c r="J248" s="0" t="s">
        <v>114</v>
      </c>
      <c r="K248" s="0" t="s">
        <v>114</v>
      </c>
      <c r="L248" s="0" t="s">
        <v>114</v>
      </c>
      <c r="M248" s="0">
        <v>12</v>
      </c>
      <c r="N248" s="0">
        <v>47</v>
      </c>
      <c r="O248" s="0">
        <v>-518308</v>
      </c>
      <c r="P248" s="1">
        <f>=HYPERLINK("10.175.1.14\MWEB.12\ERR\EntityDetails.10.175.1.14.MWEB.12.com.ufjcard..-518308.xlsx", "&lt;Detail&gt;")</f>
      </c>
      <c r="Q248" s="1">
        <f>=HYPERLINK("10.175.1.14\MWEB.12\ERR\MetricGraphs.ERR.10.175.1.14.MWEB.12.xlsx", "&lt;Metrics&gt;")</f>
      </c>
      <c r="R248" s="0" t="s">
        <v>101</v>
      </c>
      <c r="S248" s="0" t="s">
        <v>145</v>
      </c>
      <c r="T248" s="0" t="s">
        <v>197</v>
      </c>
      <c r="U248" s="0" t="s">
        <v>114</v>
      </c>
    </row>
    <row r="249">
      <c r="A249" s="0" t="s">
        <v>28</v>
      </c>
      <c r="B249" s="0" t="s">
        <v>30</v>
      </c>
      <c r="C249" s="0" t="s">
        <v>196</v>
      </c>
      <c r="D249" s="0" t="s">
        <v>1658</v>
      </c>
      <c r="E249" s="0" t="s">
        <v>1647</v>
      </c>
      <c r="F249" s="0">
        <v>500</v>
      </c>
      <c r="G249" s="0">
        <v>2</v>
      </c>
      <c r="H249" s="0" t="s">
        <v>1659</v>
      </c>
      <c r="I249" s="0" t="s">
        <v>1660</v>
      </c>
      <c r="J249" s="0" t="s">
        <v>114</v>
      </c>
      <c r="K249" s="0" t="s">
        <v>114</v>
      </c>
      <c r="L249" s="0" t="s">
        <v>114</v>
      </c>
      <c r="M249" s="0">
        <v>12</v>
      </c>
      <c r="N249" s="0">
        <v>47</v>
      </c>
      <c r="O249" s="0">
        <v>-641610</v>
      </c>
      <c r="P249" s="1">
        <f>=HYPERLINK("10.175.1.14\MWEB.12\ERR\EntityDetails.10.175.1.14.MWEB.12.Internal Ser.-641610.xlsx", "&lt;Detail&gt;")</f>
      </c>
      <c r="Q249" s="1">
        <f>=HYPERLINK("10.175.1.14\MWEB.12\ERR\MetricGraphs.ERR.10.175.1.14.MWEB.12.xlsx", "&lt;Metrics&gt;")</f>
      </c>
      <c r="R249" s="0" t="s">
        <v>101</v>
      </c>
      <c r="S249" s="0" t="s">
        <v>145</v>
      </c>
      <c r="T249" s="0" t="s">
        <v>197</v>
      </c>
      <c r="U249" s="0" t="s">
        <v>114</v>
      </c>
    </row>
    <row r="250">
      <c r="A250" s="0" t="s">
        <v>28</v>
      </c>
      <c r="B250" s="0" t="s">
        <v>30</v>
      </c>
      <c r="C250" s="0" t="s">
        <v>196</v>
      </c>
      <c r="D250" s="0" t="s">
        <v>1663</v>
      </c>
      <c r="E250" s="0" t="s">
        <v>1635</v>
      </c>
      <c r="F250" s="0">
        <v>0</v>
      </c>
      <c r="G250" s="0">
        <v>2</v>
      </c>
      <c r="H250" s="0" t="s">
        <v>1664</v>
      </c>
      <c r="I250" s="0" t="s">
        <v>114</v>
      </c>
      <c r="J250" s="0" t="s">
        <v>114</v>
      </c>
      <c r="K250" s="0" t="s">
        <v>114</v>
      </c>
      <c r="L250" s="0" t="s">
        <v>114</v>
      </c>
      <c r="M250" s="0">
        <v>12</v>
      </c>
      <c r="N250" s="0">
        <v>47</v>
      </c>
      <c r="O250" s="0">
        <v>-641608</v>
      </c>
      <c r="P250" s="1">
        <f>=HYPERLINK("10.175.1.14\MWEB.12\ERR\EntityDetails.10.175.1.14.MWEB.12.java.lang.Nu.-641608.xlsx", "&lt;Detail&gt;")</f>
      </c>
      <c r="Q250" s="1">
        <f>=HYPERLINK("10.175.1.14\MWEB.12\ERR\MetricGraphs.ERR.10.175.1.14.MWEB.12.xlsx", "&lt;Metrics&gt;")</f>
      </c>
      <c r="R250" s="0" t="s">
        <v>101</v>
      </c>
      <c r="S250" s="0" t="s">
        <v>145</v>
      </c>
      <c r="T250" s="0" t="s">
        <v>197</v>
      </c>
      <c r="U250" s="0" t="s">
        <v>114</v>
      </c>
    </row>
    <row r="251">
      <c r="A251" s="0" t="s">
        <v>28</v>
      </c>
      <c r="B251" s="0" t="s">
        <v>30</v>
      </c>
      <c r="C251" s="0" t="s">
        <v>196</v>
      </c>
      <c r="D251" s="0" t="s">
        <v>1677</v>
      </c>
      <c r="E251" s="0" t="s">
        <v>1647</v>
      </c>
      <c r="F251" s="0">
        <v>404</v>
      </c>
      <c r="G251" s="0">
        <v>2</v>
      </c>
      <c r="H251" s="0" t="s">
        <v>1678</v>
      </c>
      <c r="I251" s="0" t="s">
        <v>1679</v>
      </c>
      <c r="J251" s="0" t="s">
        <v>114</v>
      </c>
      <c r="K251" s="0" t="s">
        <v>114</v>
      </c>
      <c r="L251" s="0" t="s">
        <v>114</v>
      </c>
      <c r="M251" s="0">
        <v>12</v>
      </c>
      <c r="N251" s="0">
        <v>47</v>
      </c>
      <c r="O251" s="0">
        <v>-641606</v>
      </c>
      <c r="P251" s="1">
        <f>=HYPERLINK("10.175.1.14\MWEB.12\ERR\EntityDetails.10.175.1.14.MWEB.12.Page Not Fou.-641606.xlsx", "&lt;Detail&gt;")</f>
      </c>
      <c r="Q251" s="1">
        <f>=HYPERLINK("10.175.1.14\MWEB.12\ERR\MetricGraphs.ERR.10.175.1.14.MWEB.12.xlsx", "&lt;Metrics&gt;")</f>
      </c>
      <c r="R251" s="0" t="s">
        <v>101</v>
      </c>
      <c r="S251" s="0" t="s">
        <v>145</v>
      </c>
      <c r="T251" s="0" t="s">
        <v>197</v>
      </c>
      <c r="U251" s="0" t="s">
        <v>114</v>
      </c>
    </row>
    <row r="252">
      <c r="A252" s="0" t="s">
        <v>28</v>
      </c>
      <c r="B252" s="0" t="s">
        <v>30</v>
      </c>
      <c r="C252" s="0" t="s">
        <v>196</v>
      </c>
      <c r="D252" s="0" t="s">
        <v>1780</v>
      </c>
      <c r="E252" s="0" t="s">
        <v>1635</v>
      </c>
      <c r="F252" s="0">
        <v>0</v>
      </c>
      <c r="G252" s="0">
        <v>1</v>
      </c>
      <c r="H252" s="0" t="s">
        <v>1780</v>
      </c>
      <c r="I252" s="0" t="s">
        <v>114</v>
      </c>
      <c r="J252" s="0" t="s">
        <v>114</v>
      </c>
      <c r="K252" s="0" t="s">
        <v>114</v>
      </c>
      <c r="L252" s="0" t="s">
        <v>114</v>
      </c>
      <c r="M252" s="0">
        <v>12</v>
      </c>
      <c r="N252" s="0">
        <v>47</v>
      </c>
      <c r="O252" s="0">
        <v>-641316</v>
      </c>
      <c r="P252" s="1">
        <f>=HYPERLINK("10.175.1.14\MWEB.12\ERR\EntityDetails.10.175.1.14.MWEB.12.PCFException.-641316.xlsx", "&lt;Detail&gt;")</f>
      </c>
      <c r="Q252" s="1">
        <f>=HYPERLINK("10.175.1.14\MWEB.12\ERR\MetricGraphs.ERR.10.175.1.14.MWEB.12.xlsx", "&lt;Metrics&gt;")</f>
      </c>
      <c r="R252" s="0" t="s">
        <v>101</v>
      </c>
      <c r="S252" s="0" t="s">
        <v>145</v>
      </c>
      <c r="T252" s="0" t="s">
        <v>197</v>
      </c>
      <c r="U252" s="0" t="s">
        <v>114</v>
      </c>
    </row>
  </sheetData>
  <headerFooter/>
  <tableParts>
    <tablePart r:id="rId1"/>
  </tableParts>
</worksheet>
</file>

<file path=xl/worksheets/sheet3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=HYPERLINK("#'12.Errors'!A1", "&lt;Go&gt;")</f>
      </c>
    </row>
  </sheetData>
  <headerFooter/>
  <drawing r:id="rId2"/>
</worksheet>
</file>

<file path=xl/worksheets/sheet3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8" topLeftCell="A9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=HYPERLINK("#'12.Errors'!A1", "&lt;Go&gt;")</f>
      </c>
    </row>
  </sheetData>
  <headerFooter/>
</worksheet>
</file>

<file path=xl/worksheets/sheet35.xml><?xml version="1.0" encoding="utf-8"?>
<worksheet xmlns:r="http://schemas.openxmlformats.org/officeDocument/2006/relationships" xmlns="http://schemas.openxmlformats.org/spreadsheetml/2006/main">
  <dimension ref="A1:J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1781</v>
      </c>
      <c r="B2" s="1">
        <f>=HYPERLINK("#'13.Information Points.Type'!A1", "&lt;Go&gt;")</f>
      </c>
    </row>
    <row r="4">
      <c r="A4" s="0" t="s">
        <v>23</v>
      </c>
      <c r="B4" s="0" t="s">
        <v>102</v>
      </c>
      <c r="C4" s="0" t="s">
        <v>1782</v>
      </c>
      <c r="D4" s="0" t="s">
        <v>1783</v>
      </c>
      <c r="E4" s="0" t="s">
        <v>26</v>
      </c>
      <c r="F4" s="0" t="s">
        <v>1784</v>
      </c>
      <c r="G4" s="0" t="s">
        <v>141</v>
      </c>
      <c r="H4" s="0" t="s">
        <v>98</v>
      </c>
      <c r="I4" s="0" t="s">
        <v>144</v>
      </c>
      <c r="J4" s="0" t="s">
        <v>1785</v>
      </c>
    </row>
  </sheetData>
  <headerFooter/>
</worksheet>
</file>

<file path=xl/worksheets/sheet3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=HYPERLINK("#'13.Information Points'!A1", "&lt;Go&gt;")</f>
      </c>
    </row>
  </sheetData>
  <headerFooter/>
</worksheet>
</file>

<file path=xl/worksheets/sheet37.xml><?xml version="1.0" encoding="utf-8"?>
<worksheet xmlns:r="http://schemas.openxmlformats.org/officeDocument/2006/relationships" xmlns="http://schemas.openxmlformats.org/spreadsheetml/2006/main">
  <dimension ref="A1:AA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1786</v>
      </c>
      <c r="B2" s="1">
        <f>=HYPERLINK("#'14.Mapped Backends.Type'!A1", "&lt;Go&gt;")</f>
      </c>
    </row>
    <row r="4">
      <c r="A4" s="0" t="s">
        <v>23</v>
      </c>
      <c r="B4" s="0" t="s">
        <v>102</v>
      </c>
      <c r="C4" s="0" t="s">
        <v>147</v>
      </c>
      <c r="D4" s="0" t="s">
        <v>204</v>
      </c>
      <c r="E4" s="0" t="s">
        <v>904</v>
      </c>
      <c r="F4" s="0" t="s">
        <v>905</v>
      </c>
      <c r="G4" s="0" t="s">
        <v>908</v>
      </c>
      <c r="H4" s="0" t="s">
        <v>909</v>
      </c>
      <c r="I4" s="0" t="s">
        <v>910</v>
      </c>
      <c r="J4" s="0" t="s">
        <v>911</v>
      </c>
      <c r="K4" s="0" t="s">
        <v>912</v>
      </c>
      <c r="L4" s="0" t="s">
        <v>913</v>
      </c>
      <c r="M4" s="0" t="s">
        <v>914</v>
      </c>
      <c r="N4" s="0" t="s">
        <v>915</v>
      </c>
      <c r="O4" s="0" t="s">
        <v>916</v>
      </c>
      <c r="P4" s="0" t="s">
        <v>917</v>
      </c>
      <c r="Q4" s="0" t="s">
        <v>918</v>
      </c>
      <c r="R4" s="0" t="s">
        <v>919</v>
      </c>
      <c r="S4" s="0" t="s">
        <v>920</v>
      </c>
      <c r="T4" s="0" t="s">
        <v>921</v>
      </c>
      <c r="U4" s="0" t="s">
        <v>922</v>
      </c>
      <c r="V4" s="0" t="s">
        <v>107</v>
      </c>
      <c r="W4" s="0" t="s">
        <v>108</v>
      </c>
      <c r="X4" s="0" t="s">
        <v>26</v>
      </c>
      <c r="Y4" s="0" t="s">
        <v>150</v>
      </c>
      <c r="Z4" s="0" t="s">
        <v>250</v>
      </c>
      <c r="AA4" s="0" t="s">
        <v>925</v>
      </c>
    </row>
  </sheetData>
  <headerFooter/>
</worksheet>
</file>

<file path=xl/worksheets/sheet38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=HYPERLINK("#'14.Mapped Backends'!A1", "&lt;Go&gt;")</f>
      </c>
    </row>
  </sheetData>
  <headerFooter/>
</worksheet>
</file>

<file path=xl/worksheets/sheet39.xml><?xml version="1.0" encoding="utf-8"?>
<worksheet xmlns:r="http://schemas.openxmlformats.org/officeDocument/2006/relationships" xmlns="http://schemas.openxmlformats.org/spreadsheetml/2006/main">
  <dimension ref="A1:K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966</v>
      </c>
      <c r="B2" s="1">
        <f>=HYPERLINK("#'15.Overflow.BTs.Type'!A1", "&lt;Go&gt;")</f>
      </c>
    </row>
    <row r="4">
      <c r="A4" s="0" t="s">
        <v>23</v>
      </c>
      <c r="B4" s="0" t="s">
        <v>102</v>
      </c>
      <c r="C4" s="0" t="s">
        <v>147</v>
      </c>
      <c r="D4" s="0" t="s">
        <v>969</v>
      </c>
      <c r="E4" s="0" t="s">
        <v>972</v>
      </c>
      <c r="F4" s="0" t="s">
        <v>1787</v>
      </c>
      <c r="G4" s="0" t="s">
        <v>26</v>
      </c>
      <c r="H4" s="0" t="s">
        <v>150</v>
      </c>
      <c r="I4" s="0" t="s">
        <v>98</v>
      </c>
      <c r="J4" s="0" t="s">
        <v>144</v>
      </c>
      <c r="K4" s="0" t="s">
        <v>151</v>
      </c>
    </row>
  </sheetData>
  <headerFooter/>
</worksheet>
</file>

<file path=xl/worksheets/sheet4.xml><?xml version="1.0" encoding="utf-8"?>
<worksheet xmlns:r="http://schemas.openxmlformats.org/officeDocument/2006/relationships" xmlns="http://schemas.openxmlformats.org/spreadsheetml/2006/main">
  <dimension ref="A1:M1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6" max="6" width="15" customWidth="1"/>
    <col min="7" max="7" width="20" customWidth="1"/>
    <col min="8" max="8" width="20" customWidth="1"/>
    <col min="9" max="9" width="15" customWidth="1"/>
    <col min="10" max="10" width="20" customWidth="1"/>
    <col min="11" max="11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102</v>
      </c>
      <c r="C4" s="0" t="s">
        <v>103</v>
      </c>
      <c r="D4" s="0" t="s">
        <v>104</v>
      </c>
      <c r="E4" s="0" t="s">
        <v>105</v>
      </c>
      <c r="F4" s="0" t="s">
        <v>106</v>
      </c>
      <c r="G4" s="0" t="s">
        <v>107</v>
      </c>
      <c r="H4" s="0" t="s">
        <v>108</v>
      </c>
      <c r="I4" s="0" t="s">
        <v>109</v>
      </c>
      <c r="J4" s="0" t="s">
        <v>110</v>
      </c>
      <c r="K4" s="0" t="s">
        <v>111</v>
      </c>
      <c r="L4" s="0" t="s">
        <v>26</v>
      </c>
      <c r="M4" s="0" t="s">
        <v>112</v>
      </c>
    </row>
    <row r="5">
      <c r="A5" s="0" t="s">
        <v>28</v>
      </c>
      <c r="B5" s="0" t="s">
        <v>113</v>
      </c>
      <c r="C5" s="0" t="s">
        <v>114</v>
      </c>
      <c r="D5" s="0" t="s">
        <v>31</v>
      </c>
      <c r="E5" s="0" t="s">
        <v>115</v>
      </c>
      <c r="F5" s="0" t="s">
        <v>116</v>
      </c>
      <c r="G5" s="2">
        <v>44481.6899087037</v>
      </c>
      <c r="H5" s="2">
        <v>44481.3149087037</v>
      </c>
      <c r="I5" s="0" t="s">
        <v>116</v>
      </c>
      <c r="J5" s="2">
        <v>44481.6899087037</v>
      </c>
      <c r="K5" s="2">
        <v>44481.3149087037</v>
      </c>
      <c r="L5" s="0">
        <v>16</v>
      </c>
      <c r="M5" s="0">
        <v>0</v>
      </c>
    </row>
    <row r="6">
      <c r="A6" s="0" t="s">
        <v>28</v>
      </c>
      <c r="B6" s="0" t="s">
        <v>117</v>
      </c>
      <c r="C6" s="0" t="s">
        <v>114</v>
      </c>
      <c r="D6" s="0" t="s">
        <v>31</v>
      </c>
      <c r="E6" s="0" t="s">
        <v>115</v>
      </c>
      <c r="F6" s="0" t="s">
        <v>116</v>
      </c>
      <c r="G6" s="2">
        <v>44043.66052136574</v>
      </c>
      <c r="H6" s="2">
        <v>44043.28552136574</v>
      </c>
      <c r="I6" s="0" t="s">
        <v>116</v>
      </c>
      <c r="J6" s="2">
        <v>44043.66052136574</v>
      </c>
      <c r="K6" s="2">
        <v>44043.28552136574</v>
      </c>
      <c r="L6" s="0">
        <v>14</v>
      </c>
      <c r="M6" s="0">
        <v>0</v>
      </c>
    </row>
    <row r="7">
      <c r="A7" s="0" t="s">
        <v>28</v>
      </c>
      <c r="B7" s="0" t="s">
        <v>118</v>
      </c>
      <c r="C7" s="0" t="s">
        <v>114</v>
      </c>
      <c r="D7" s="0" t="s">
        <v>31</v>
      </c>
      <c r="E7" s="0" t="s">
        <v>115</v>
      </c>
      <c r="F7" s="0" t="s">
        <v>116</v>
      </c>
      <c r="G7" s="2">
        <v>44042.798766608794</v>
      </c>
      <c r="H7" s="2">
        <v>44042.423766608794</v>
      </c>
      <c r="I7" s="0" t="s">
        <v>116</v>
      </c>
      <c r="J7" s="2">
        <v>44042.798766608794</v>
      </c>
      <c r="K7" s="2">
        <v>44042.423766608794</v>
      </c>
      <c r="L7" s="0">
        <v>11</v>
      </c>
      <c r="M7" s="0">
        <v>0</v>
      </c>
    </row>
    <row r="8">
      <c r="A8" s="0" t="s">
        <v>28</v>
      </c>
      <c r="B8" s="0" t="s">
        <v>119</v>
      </c>
      <c r="C8" s="0" t="s">
        <v>114</v>
      </c>
      <c r="D8" s="0" t="s">
        <v>31</v>
      </c>
      <c r="E8" s="0" t="s">
        <v>115</v>
      </c>
      <c r="F8" s="0" t="s">
        <v>116</v>
      </c>
      <c r="G8" s="2">
        <v>44537.76421872685</v>
      </c>
      <c r="H8" s="2">
        <v>44537.38921872685</v>
      </c>
      <c r="I8" s="0" t="s">
        <v>116</v>
      </c>
      <c r="J8" s="2">
        <v>44537.76421872685</v>
      </c>
      <c r="K8" s="2">
        <v>44537.38921872685</v>
      </c>
      <c r="L8" s="0">
        <v>18</v>
      </c>
      <c r="M8" s="0">
        <v>0</v>
      </c>
    </row>
    <row r="9">
      <c r="A9" s="0" t="s">
        <v>28</v>
      </c>
      <c r="B9" s="0" t="s">
        <v>30</v>
      </c>
      <c r="C9" s="0" t="s">
        <v>114</v>
      </c>
      <c r="D9" s="0" t="s">
        <v>31</v>
      </c>
      <c r="E9" s="0" t="s">
        <v>115</v>
      </c>
      <c r="F9" s="0" t="s">
        <v>116</v>
      </c>
      <c r="G9" s="2">
        <v>44042.8128684375</v>
      </c>
      <c r="H9" s="2">
        <v>44042.4378684375</v>
      </c>
      <c r="I9" s="0" t="s">
        <v>116</v>
      </c>
      <c r="J9" s="2">
        <v>44042.8128684375</v>
      </c>
      <c r="K9" s="2">
        <v>44042.4378684375</v>
      </c>
      <c r="L9" s="0">
        <v>12</v>
      </c>
      <c r="M9" s="0">
        <v>0</v>
      </c>
    </row>
    <row r="10">
      <c r="A10" s="0" t="s">
        <v>28</v>
      </c>
      <c r="B10" s="0" t="s">
        <v>120</v>
      </c>
      <c r="C10" s="0" t="s">
        <v>114</v>
      </c>
      <c r="D10" s="0" t="s">
        <v>31</v>
      </c>
      <c r="E10" s="0" t="s">
        <v>115</v>
      </c>
      <c r="F10" s="0" t="s">
        <v>116</v>
      </c>
      <c r="G10" s="2">
        <v>44230.44733065972</v>
      </c>
      <c r="H10" s="2">
        <v>44230.07233065972</v>
      </c>
      <c r="I10" s="0" t="s">
        <v>116</v>
      </c>
      <c r="J10" s="2">
        <v>44230.44733065972</v>
      </c>
      <c r="K10" s="2">
        <v>44230.07233065972</v>
      </c>
      <c r="L10" s="0">
        <v>15</v>
      </c>
      <c r="M10" s="0">
        <v>0</v>
      </c>
    </row>
    <row r="11">
      <c r="A11" s="0" t="s">
        <v>28</v>
      </c>
      <c r="B11" s="0" t="s">
        <v>121</v>
      </c>
      <c r="C11" s="0" t="s">
        <v>114</v>
      </c>
      <c r="D11" s="0" t="s">
        <v>31</v>
      </c>
      <c r="E11" s="0" t="s">
        <v>115</v>
      </c>
      <c r="F11" s="0" t="s">
        <v>122</v>
      </c>
      <c r="G11" s="2">
        <v>44529.762652199075</v>
      </c>
      <c r="H11" s="2">
        <v>44529.387652199075</v>
      </c>
      <c r="I11" s="0" t="s">
        <v>122</v>
      </c>
      <c r="J11" s="2">
        <v>44529.762652199075</v>
      </c>
      <c r="K11" s="2">
        <v>44529.387652199075</v>
      </c>
      <c r="L11" s="0">
        <v>17</v>
      </c>
      <c r="M11" s="0">
        <v>0</v>
      </c>
    </row>
    <row r="12">
      <c r="A12" s="0" t="s">
        <v>28</v>
      </c>
      <c r="B12" s="0" t="s">
        <v>123</v>
      </c>
      <c r="C12" s="0" t="s">
        <v>114</v>
      </c>
      <c r="D12" s="0" t="s">
        <v>124</v>
      </c>
      <c r="E12" s="0" t="s">
        <v>125</v>
      </c>
      <c r="F12" s="0" t="s">
        <v>126</v>
      </c>
      <c r="G12" s="2">
        <v>44032.72384403935</v>
      </c>
      <c r="H12" s="2">
        <v>44032.34884403935</v>
      </c>
      <c r="I12" s="0" t="s">
        <v>126</v>
      </c>
      <c r="J12" s="2">
        <v>44032.72384403935</v>
      </c>
      <c r="K12" s="2">
        <v>44032.34884403935</v>
      </c>
      <c r="L12" s="0">
        <v>2</v>
      </c>
      <c r="M12" s="0">
        <v>0</v>
      </c>
    </row>
    <row r="13">
      <c r="A13" s="0" t="s">
        <v>28</v>
      </c>
      <c r="B13" s="0" t="s">
        <v>127</v>
      </c>
      <c r="C13" s="0" t="s">
        <v>114</v>
      </c>
      <c r="D13" s="0" t="s">
        <v>128</v>
      </c>
      <c r="E13" s="0" t="s">
        <v>129</v>
      </c>
      <c r="F13" s="0" t="s">
        <v>126</v>
      </c>
      <c r="G13" s="2">
        <v>44032.72374917824</v>
      </c>
      <c r="H13" s="2">
        <v>44032.34874917824</v>
      </c>
      <c r="I13" s="0" t="s">
        <v>126</v>
      </c>
      <c r="J13" s="2">
        <v>44032.72374917824</v>
      </c>
      <c r="K13" s="2">
        <v>44032.34874917824</v>
      </c>
      <c r="L13" s="0">
        <v>1</v>
      </c>
      <c r="M13" s="0">
        <v>0</v>
      </c>
    </row>
    <row r="14">
      <c r="A14" s="0" t="s">
        <v>28</v>
      </c>
      <c r="B14" s="0" t="s">
        <v>130</v>
      </c>
      <c r="C14" s="0" t="s">
        <v>114</v>
      </c>
      <c r="D14" s="0" t="s">
        <v>131</v>
      </c>
      <c r="E14" s="0" t="s">
        <v>132</v>
      </c>
      <c r="F14" s="0" t="s">
        <v>126</v>
      </c>
      <c r="G14" s="2">
        <v>44032.72392849537</v>
      </c>
      <c r="H14" s="2">
        <v>44032.34892849537</v>
      </c>
      <c r="I14" s="0" t="s">
        <v>126</v>
      </c>
      <c r="J14" s="2">
        <v>44032.72392849537</v>
      </c>
      <c r="K14" s="2">
        <v>44032.34892849537</v>
      </c>
      <c r="L14" s="0">
        <v>3</v>
      </c>
      <c r="M14" s="0">
        <v>0</v>
      </c>
    </row>
  </sheetData>
  <headerFooter/>
  <tableParts>
    <tablePart r:id="rId1"/>
  </tableParts>
</worksheet>
</file>

<file path=xl/worksheets/sheet4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=HYPERLINK("#'15.Overflow BTs'!A1",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Q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102</v>
      </c>
      <c r="C4" s="0" t="s">
        <v>103</v>
      </c>
      <c r="D4" s="0" t="s">
        <v>133</v>
      </c>
      <c r="E4" s="0" t="s">
        <v>134</v>
      </c>
      <c r="F4" s="0" t="s">
        <v>135</v>
      </c>
      <c r="G4" s="0" t="s">
        <v>136</v>
      </c>
      <c r="H4" s="0" t="s">
        <v>137</v>
      </c>
      <c r="I4" s="0" t="s">
        <v>138</v>
      </c>
      <c r="J4" s="0" t="s">
        <v>139</v>
      </c>
      <c r="K4" s="0" t="s">
        <v>26</v>
      </c>
      <c r="L4" s="0" t="s">
        <v>140</v>
      </c>
      <c r="M4" s="0" t="s">
        <v>141</v>
      </c>
      <c r="N4" s="0" t="s">
        <v>142</v>
      </c>
      <c r="O4" s="0" t="s">
        <v>143</v>
      </c>
      <c r="P4" s="0" t="s">
        <v>98</v>
      </c>
      <c r="Q4" s="0" t="s">
        <v>144</v>
      </c>
    </row>
    <row r="5">
      <c r="A5" s="0" t="s">
        <v>28</v>
      </c>
      <c r="B5" s="0" t="s">
        <v>30</v>
      </c>
      <c r="C5" s="0" t="s">
        <v>114</v>
      </c>
      <c r="D5" s="0">
        <v>21</v>
      </c>
      <c r="E5" s="0">
        <v>13</v>
      </c>
      <c r="F5" s="0">
        <v>6</v>
      </c>
      <c r="G5" s="0">
        <v>220</v>
      </c>
      <c r="H5" s="0">
        <v>218</v>
      </c>
      <c r="I5" s="0">
        <v>248</v>
      </c>
      <c r="J5" s="0">
        <v>0</v>
      </c>
      <c r="K5" s="0">
        <v>12</v>
      </c>
      <c r="L5" s="1">
        <f>=HYPERLINK("10.175.1.14\MWEB.12\APP\EntityDetails.10.175.1.14.MWEB.12.xlsx", "&lt;Detail&gt;")</f>
      </c>
      <c r="M5" s="1">
        <f>=HYPERLINK("10.175.1.14\MWEB.12\APP\MetricGraphs.APP.10.175.1.14.MWEB.12.xlsx", "&lt;Metrics&gt;")</f>
      </c>
      <c r="N5" s="1">
        <f>=HYPERLINK("10.175.1.14\MWEB.12\APP\FlameGraph.Application.10.175.1.14.MWEB.12.svg", "&lt;FlGraph&gt;")</f>
      </c>
      <c r="O5" s="1">
        <f>=HYPERLINK("10.175.1.14\MWEB.12\APP\FlameChart.Application.10.175.1.14.MWEB.12.svg", "&lt;FlChart&gt;")</f>
      </c>
      <c r="P5" s="0" t="s">
        <v>101</v>
      </c>
      <c r="Q5" s="0" t="s">
        <v>145</v>
      </c>
    </row>
  </sheetData>
  <conditionalFormatting sqref="D5">
    <cfRule priority="1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E5">
    <cfRule priority="2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F5">
    <cfRule priority="3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G5">
    <cfRule priority="4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H5">
    <cfRule priority="5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I5">
    <cfRule priority="6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J5">
    <cfRule priority="7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S2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4" max="4" width="10" customWidth="1"/>
    <col min="6" max="6" width="15" customWidth="1"/>
  </cols>
  <sheetData>
    <row r="1">
      <c r="A1" s="0" t="s">
        <v>0</v>
      </c>
      <c r="B1" s="1">
        <f>=HYPERLINK("#'2.Contents'!A1", "&lt;Go&gt;")</f>
      </c>
    </row>
    <row r="2">
      <c r="A2" s="0" t="s">
        <v>146</v>
      </c>
      <c r="B2" s="1">
        <f>=HYPERLINK("#'6.Tiers.Type'!A1", "&lt;Go&gt;")</f>
      </c>
    </row>
    <row r="4">
      <c r="A4" s="0" t="s">
        <v>23</v>
      </c>
      <c r="B4" s="0" t="s">
        <v>102</v>
      </c>
      <c r="C4" s="0" t="s">
        <v>147</v>
      </c>
      <c r="D4" s="0" t="s">
        <v>148</v>
      </c>
      <c r="E4" s="0" t="s">
        <v>103</v>
      </c>
      <c r="F4" s="0" t="s">
        <v>149</v>
      </c>
      <c r="G4" s="0" t="s">
        <v>134</v>
      </c>
      <c r="H4" s="0" t="s">
        <v>136</v>
      </c>
      <c r="I4" s="0" t="s">
        <v>137</v>
      </c>
      <c r="J4" s="0" t="s">
        <v>138</v>
      </c>
      <c r="K4" s="0" t="s">
        <v>26</v>
      </c>
      <c r="L4" s="0" t="s">
        <v>150</v>
      </c>
      <c r="M4" s="0" t="s">
        <v>140</v>
      </c>
      <c r="N4" s="0" t="s">
        <v>141</v>
      </c>
      <c r="O4" s="0" t="s">
        <v>142</v>
      </c>
      <c r="P4" s="0" t="s">
        <v>143</v>
      </c>
      <c r="Q4" s="0" t="s">
        <v>98</v>
      </c>
      <c r="R4" s="0" t="s">
        <v>144</v>
      </c>
      <c r="S4" s="0" t="s">
        <v>151</v>
      </c>
    </row>
    <row r="5">
      <c r="A5" s="0" t="s">
        <v>28</v>
      </c>
      <c r="B5" s="0" t="s">
        <v>30</v>
      </c>
      <c r="C5" s="0" t="s">
        <v>152</v>
      </c>
      <c r="D5" s="0" t="s">
        <v>153</v>
      </c>
      <c r="E5" s="0" t="s">
        <v>114</v>
      </c>
      <c r="F5" s="0" t="s">
        <v>154</v>
      </c>
      <c r="G5" s="0">
        <v>1</v>
      </c>
      <c r="H5" s="0">
        <v>0</v>
      </c>
      <c r="I5" s="0">
        <v>0</v>
      </c>
      <c r="J5" s="0">
        <v>0</v>
      </c>
      <c r="K5" s="0">
        <v>12</v>
      </c>
      <c r="L5" s="0">
        <v>33</v>
      </c>
      <c r="M5" s="1">
        <f>=HYPERLINK("10.175.1.14\MWEB.12\TIER\EntityDetails.10.175.1.14.MWEB.12.Extention.33.xlsx", "&lt;Detail&gt;")</f>
      </c>
      <c r="N5" s="1">
        <f>=HYPERLINK("10.175.1.14\MWEB.12\TIER\MetricGraphs.TIER.10.175.1.14.MWEB.12.xlsx", "&lt;Metrics&gt;")</f>
      </c>
      <c r="O5" s="1">
        <f>=HYPERLINK("10.175.1.14\MWEB.12\TIER\FlameGraph.Tier.10.175.1.14.MWEB.12.Extention.33.svg", "&lt;FlGraph&gt;")</f>
      </c>
      <c r="P5" s="1">
        <f>=HYPERLINK("10.175.1.14\MWEB.12\TIER\FlameChart.Tier.10.175.1.14.MWEB.12.Extention.33.svg", "&lt;FlChart&gt;")</f>
      </c>
      <c r="Q5" s="0" t="s">
        <v>101</v>
      </c>
      <c r="R5" s="0" t="s">
        <v>145</v>
      </c>
      <c r="S5" s="0" t="s">
        <v>155</v>
      </c>
    </row>
    <row r="6">
      <c r="A6" s="0" t="s">
        <v>28</v>
      </c>
      <c r="B6" s="0" t="s">
        <v>30</v>
      </c>
      <c r="C6" s="0" t="s">
        <v>156</v>
      </c>
      <c r="D6" s="0" t="s">
        <v>153</v>
      </c>
      <c r="E6" s="0" t="s">
        <v>114</v>
      </c>
      <c r="F6" s="0" t="s">
        <v>154</v>
      </c>
      <c r="G6" s="0">
        <v>0</v>
      </c>
      <c r="H6" s="0">
        <v>28</v>
      </c>
      <c r="I6" s="0">
        <v>50</v>
      </c>
      <c r="J6" s="0">
        <v>28</v>
      </c>
      <c r="K6" s="0">
        <v>12</v>
      </c>
      <c r="L6" s="0">
        <v>42</v>
      </c>
      <c r="M6" s="1">
        <f>=HYPERLINK("10.175.1.14\MWEB.12\TIER\EntityDetails.10.175.1.14.MWEB.12.shmweb0x0am-.42.xlsx", "&lt;Detail&gt;")</f>
      </c>
      <c r="N6" s="1">
        <f>=HYPERLINK("10.175.1.14\MWEB.12\TIER\MetricGraphs.TIER.10.175.1.14.MWEB.12.xlsx", "&lt;Metrics&gt;")</f>
      </c>
      <c r="O6" s="1">
        <f>=HYPERLINK("10.175.1.14\MWEB.12\TIER\FlameGraph.Tier.10.175.1.14.MWEB.12.shmweb0x0am-.42.svg", "&lt;FlGraph&gt;")</f>
      </c>
      <c r="P6" s="1">
        <f>=HYPERLINK("10.175.1.14\MWEB.12\TIER\FlameChart.Tier.10.175.1.14.MWEB.12.shmweb0x0am-.42.svg", "&lt;FlChart&gt;")</f>
      </c>
      <c r="Q6" s="0" t="s">
        <v>101</v>
      </c>
      <c r="R6" s="0" t="s">
        <v>145</v>
      </c>
      <c r="S6" s="0" t="s">
        <v>157</v>
      </c>
    </row>
    <row r="7">
      <c r="A7" s="0" t="s">
        <v>28</v>
      </c>
      <c r="B7" s="0" t="s">
        <v>30</v>
      </c>
      <c r="C7" s="0" t="s">
        <v>158</v>
      </c>
      <c r="D7" s="0" t="s">
        <v>153</v>
      </c>
      <c r="E7" s="0" t="s">
        <v>114</v>
      </c>
      <c r="F7" s="0" t="s">
        <v>154</v>
      </c>
      <c r="G7" s="0">
        <v>0</v>
      </c>
      <c r="H7" s="0">
        <v>25</v>
      </c>
      <c r="I7" s="0">
        <v>51</v>
      </c>
      <c r="J7" s="0">
        <v>18</v>
      </c>
      <c r="K7" s="0">
        <v>12</v>
      </c>
      <c r="L7" s="0">
        <v>39</v>
      </c>
      <c r="M7" s="1">
        <f>=HYPERLINK("10.175.1.14\MWEB.12\TIER\EntityDetails.10.175.1.14.MWEB.12.shmweb0x0an-.39.xlsx", "&lt;Detail&gt;")</f>
      </c>
      <c r="N7" s="1">
        <f>=HYPERLINK("10.175.1.14\MWEB.12\TIER\MetricGraphs.TIER.10.175.1.14.MWEB.12.xlsx", "&lt;Metrics&gt;")</f>
      </c>
      <c r="O7" s="1">
        <f>=HYPERLINK("10.175.1.14\MWEB.12\TIER\FlameGraph.Tier.10.175.1.14.MWEB.12.shmweb0x0an-.39.svg", "&lt;FlGraph&gt;")</f>
      </c>
      <c r="P7" s="1">
        <f>=HYPERLINK("10.175.1.14\MWEB.12\TIER\FlameChart.Tier.10.175.1.14.MWEB.12.shmweb0x0an-.39.svg", "&lt;FlChart&gt;")</f>
      </c>
      <c r="Q7" s="0" t="s">
        <v>101</v>
      </c>
      <c r="R7" s="0" t="s">
        <v>145</v>
      </c>
      <c r="S7" s="0" t="s">
        <v>159</v>
      </c>
    </row>
    <row r="8">
      <c r="A8" s="0" t="s">
        <v>28</v>
      </c>
      <c r="B8" s="0" t="s">
        <v>30</v>
      </c>
      <c r="C8" s="0" t="s">
        <v>160</v>
      </c>
      <c r="D8" s="0" t="s">
        <v>153</v>
      </c>
      <c r="E8" s="0" t="s">
        <v>114</v>
      </c>
      <c r="F8" s="0" t="s">
        <v>154</v>
      </c>
      <c r="G8" s="0">
        <v>0</v>
      </c>
      <c r="H8" s="0">
        <v>3</v>
      </c>
      <c r="I8" s="0">
        <v>4</v>
      </c>
      <c r="J8" s="0">
        <v>2</v>
      </c>
      <c r="K8" s="0">
        <v>12</v>
      </c>
      <c r="L8" s="0">
        <v>41</v>
      </c>
      <c r="M8" s="1">
        <f>=HYPERLINK("10.175.1.14\MWEB.12\TIER\EntityDetails.10.175.1.14.MWEB.12.shmweb0x0an-.41.xlsx", "&lt;Detail&gt;")</f>
      </c>
      <c r="N8" s="1">
        <f>=HYPERLINK("10.175.1.14\MWEB.12\TIER\MetricGraphs.TIER.10.175.1.14.MWEB.12.xlsx", "&lt;Metrics&gt;")</f>
      </c>
      <c r="O8" s="1">
        <f>=HYPERLINK("10.175.1.14\MWEB.12\TIER\FlameGraph.Tier.10.175.1.14.MWEB.12.shmweb0x0an-.41.svg", "&lt;FlGraph&gt;")</f>
      </c>
      <c r="P8" s="1">
        <f>=HYPERLINK("10.175.1.14\MWEB.12\TIER\FlameChart.Tier.10.175.1.14.MWEB.12.shmweb0x0an-.41.svg", "&lt;FlChart&gt;")</f>
      </c>
      <c r="Q8" s="0" t="s">
        <v>101</v>
      </c>
      <c r="R8" s="0" t="s">
        <v>145</v>
      </c>
      <c r="S8" s="0" t="s">
        <v>161</v>
      </c>
    </row>
    <row r="9">
      <c r="A9" s="0" t="s">
        <v>28</v>
      </c>
      <c r="B9" s="0" t="s">
        <v>30</v>
      </c>
      <c r="C9" s="0" t="s">
        <v>162</v>
      </c>
      <c r="D9" s="0" t="s">
        <v>153</v>
      </c>
      <c r="E9" s="0" t="s">
        <v>114</v>
      </c>
      <c r="F9" s="0" t="s">
        <v>154</v>
      </c>
      <c r="G9" s="0">
        <v>0</v>
      </c>
      <c r="H9" s="0">
        <v>4</v>
      </c>
      <c r="I9" s="0">
        <v>7</v>
      </c>
      <c r="J9" s="0">
        <v>13</v>
      </c>
      <c r="K9" s="0">
        <v>12</v>
      </c>
      <c r="L9" s="0">
        <v>40</v>
      </c>
      <c r="M9" s="1">
        <f>=HYPERLINK("10.175.1.14\MWEB.12\TIER\EntityDetails.10.175.1.14.MWEB.12.shmweb0x0an-.40.xlsx", "&lt;Detail&gt;")</f>
      </c>
      <c r="N9" s="1">
        <f>=HYPERLINK("10.175.1.14\MWEB.12\TIER\MetricGraphs.TIER.10.175.1.14.MWEB.12.xlsx", "&lt;Metrics&gt;")</f>
      </c>
      <c r="O9" s="1">
        <f>=HYPERLINK("10.175.1.14\MWEB.12\TIER\FlameGraph.Tier.10.175.1.14.MWEB.12.shmweb0x0an-.40.svg", "&lt;FlGraph&gt;")</f>
      </c>
      <c r="P9" s="1">
        <f>=HYPERLINK("10.175.1.14\MWEB.12\TIER\FlameChart.Tier.10.175.1.14.MWEB.12.shmweb0x0an-.40.svg", "&lt;FlChart&gt;")</f>
      </c>
      <c r="Q9" s="0" t="s">
        <v>101</v>
      </c>
      <c r="R9" s="0" t="s">
        <v>145</v>
      </c>
      <c r="S9" s="0" t="s">
        <v>163</v>
      </c>
    </row>
    <row r="10">
      <c r="A10" s="0" t="s">
        <v>28</v>
      </c>
      <c r="B10" s="0" t="s">
        <v>30</v>
      </c>
      <c r="C10" s="0" t="s">
        <v>164</v>
      </c>
      <c r="D10" s="0" t="s">
        <v>153</v>
      </c>
      <c r="E10" s="0" t="s">
        <v>114</v>
      </c>
      <c r="F10" s="0" t="s">
        <v>154</v>
      </c>
      <c r="G10" s="0">
        <v>0</v>
      </c>
      <c r="H10" s="0">
        <v>20</v>
      </c>
      <c r="I10" s="0">
        <v>45</v>
      </c>
      <c r="J10" s="0">
        <v>19</v>
      </c>
      <c r="K10" s="0">
        <v>12</v>
      </c>
      <c r="L10" s="0">
        <v>36</v>
      </c>
      <c r="M10" s="1">
        <f>=HYPERLINK("10.175.1.14\MWEB.12\TIER\EntityDetails.10.175.1.14.MWEB.12.shmweb0x0at-.36.xlsx", "&lt;Detail&gt;")</f>
      </c>
      <c r="N10" s="1">
        <f>=HYPERLINK("10.175.1.14\MWEB.12\TIER\MetricGraphs.TIER.10.175.1.14.MWEB.12.xlsx", "&lt;Metrics&gt;")</f>
      </c>
      <c r="O10" s="1">
        <f>=HYPERLINK("10.175.1.14\MWEB.12\TIER\FlameGraph.Tier.10.175.1.14.MWEB.12.shmweb0x0at-.36.svg", "&lt;FlGraph&gt;")</f>
      </c>
      <c r="P10" s="1">
        <f>=HYPERLINK("10.175.1.14\MWEB.12\TIER\FlameChart.Tier.10.175.1.14.MWEB.12.shmweb0x0at-.36.svg", "&lt;FlChart&gt;")</f>
      </c>
      <c r="Q10" s="0" t="s">
        <v>101</v>
      </c>
      <c r="R10" s="0" t="s">
        <v>145</v>
      </c>
      <c r="S10" s="0" t="s">
        <v>165</v>
      </c>
    </row>
    <row r="11">
      <c r="A11" s="0" t="s">
        <v>28</v>
      </c>
      <c r="B11" s="0" t="s">
        <v>30</v>
      </c>
      <c r="C11" s="0" t="s">
        <v>166</v>
      </c>
      <c r="D11" s="0" t="s">
        <v>153</v>
      </c>
      <c r="E11" s="0" t="s">
        <v>114</v>
      </c>
      <c r="F11" s="0" t="s">
        <v>154</v>
      </c>
      <c r="G11" s="0">
        <v>0</v>
      </c>
      <c r="H11" s="0">
        <v>5</v>
      </c>
      <c r="I11" s="0">
        <v>6</v>
      </c>
      <c r="J11" s="0">
        <v>13</v>
      </c>
      <c r="K11" s="0">
        <v>12</v>
      </c>
      <c r="L11" s="0">
        <v>37</v>
      </c>
      <c r="M11" s="1">
        <f>=HYPERLINK("10.175.1.14\MWEB.12\TIER\EntityDetails.10.175.1.14.MWEB.12.shmweb0x0at-.37.xlsx", "&lt;Detail&gt;")</f>
      </c>
      <c r="N11" s="1">
        <f>=HYPERLINK("10.175.1.14\MWEB.12\TIER\MetricGraphs.TIER.10.175.1.14.MWEB.12.xlsx", "&lt;Metrics&gt;")</f>
      </c>
      <c r="O11" s="1">
        <f>=HYPERLINK("10.175.1.14\MWEB.12\TIER\FlameGraph.Tier.10.175.1.14.MWEB.12.shmweb0x0at-.37.svg", "&lt;FlGraph&gt;")</f>
      </c>
      <c r="P11" s="1">
        <f>=HYPERLINK("10.175.1.14\MWEB.12\TIER\FlameChart.Tier.10.175.1.14.MWEB.12.shmweb0x0at-.37.svg", "&lt;FlChart&gt;")</f>
      </c>
      <c r="Q11" s="0" t="s">
        <v>101</v>
      </c>
      <c r="R11" s="0" t="s">
        <v>145</v>
      </c>
      <c r="S11" s="0" t="s">
        <v>167</v>
      </c>
    </row>
    <row r="12">
      <c r="A12" s="0" t="s">
        <v>28</v>
      </c>
      <c r="B12" s="0" t="s">
        <v>30</v>
      </c>
      <c r="C12" s="0" t="s">
        <v>168</v>
      </c>
      <c r="D12" s="0" t="s">
        <v>153</v>
      </c>
      <c r="E12" s="0" t="s">
        <v>114</v>
      </c>
      <c r="F12" s="0" t="s">
        <v>154</v>
      </c>
      <c r="G12" s="0">
        <v>0</v>
      </c>
      <c r="H12" s="0">
        <v>6</v>
      </c>
      <c r="I12" s="0">
        <v>7</v>
      </c>
      <c r="J12" s="0">
        <v>14</v>
      </c>
      <c r="K12" s="0">
        <v>12</v>
      </c>
      <c r="L12" s="0">
        <v>38</v>
      </c>
      <c r="M12" s="1">
        <f>=HYPERLINK("10.175.1.14\MWEB.12\TIER\EntityDetails.10.175.1.14.MWEB.12.shmweb0x0at-.38.xlsx", "&lt;Detail&gt;")</f>
      </c>
      <c r="N12" s="1">
        <f>=HYPERLINK("10.175.1.14\MWEB.12\TIER\MetricGraphs.TIER.10.175.1.14.MWEB.12.xlsx", "&lt;Metrics&gt;")</f>
      </c>
      <c r="O12" s="1">
        <f>=HYPERLINK("10.175.1.14\MWEB.12\TIER\FlameGraph.Tier.10.175.1.14.MWEB.12.shmweb0x0at-.38.svg", "&lt;FlGraph&gt;")</f>
      </c>
      <c r="P12" s="1">
        <f>=HYPERLINK("10.175.1.14\MWEB.12\TIER\FlameChart.Tier.10.175.1.14.MWEB.12.shmweb0x0at-.38.svg", "&lt;FlChart&gt;")</f>
      </c>
      <c r="Q12" s="0" t="s">
        <v>101</v>
      </c>
      <c r="R12" s="0" t="s">
        <v>145</v>
      </c>
      <c r="S12" s="0" t="s">
        <v>169</v>
      </c>
    </row>
    <row r="13">
      <c r="A13" s="0" t="s">
        <v>28</v>
      </c>
      <c r="B13" s="0" t="s">
        <v>30</v>
      </c>
      <c r="C13" s="0" t="s">
        <v>170</v>
      </c>
      <c r="D13" s="0" t="s">
        <v>171</v>
      </c>
      <c r="E13" s="0" t="s">
        <v>114</v>
      </c>
      <c r="F13" s="0" t="s">
        <v>172</v>
      </c>
      <c r="G13" s="0">
        <v>0</v>
      </c>
      <c r="H13" s="0">
        <v>60</v>
      </c>
      <c r="I13" s="0">
        <v>0</v>
      </c>
      <c r="J13" s="0">
        <v>5</v>
      </c>
      <c r="K13" s="0">
        <v>12</v>
      </c>
      <c r="L13" s="0">
        <v>35</v>
      </c>
      <c r="M13" s="1">
        <f>=HYPERLINK("10.175.1.14\MWEB.12\TIER\EntityDetails.10.175.1.14.MWEB.12.shmweb0x0cp-.35.xlsx", "&lt;Detail&gt;")</f>
      </c>
      <c r="N13" s="1">
        <f>=HYPERLINK("10.175.1.14\MWEB.12\TIER\MetricGraphs.TIER.10.175.1.14.MWEB.12.xlsx", "&lt;Metrics&gt;")</f>
      </c>
      <c r="O13" s="1">
        <f>=HYPERLINK("10.175.1.14\MWEB.12\TIER\FlameGraph.Tier.10.175.1.14.MWEB.12.shmweb0x0cp-.35.svg", "&lt;FlGraph&gt;")</f>
      </c>
      <c r="P13" s="1">
        <f>=HYPERLINK("10.175.1.14\MWEB.12\TIER\FlameChart.Tier.10.175.1.14.MWEB.12.shmweb0x0cp-.35.svg", "&lt;FlChart&gt;")</f>
      </c>
      <c r="Q13" s="0" t="s">
        <v>101</v>
      </c>
      <c r="R13" s="0" t="s">
        <v>145</v>
      </c>
      <c r="S13" s="0" t="s">
        <v>173</v>
      </c>
    </row>
    <row r="14">
      <c r="A14" s="0" t="s">
        <v>28</v>
      </c>
      <c r="B14" s="0" t="s">
        <v>30</v>
      </c>
      <c r="C14" s="0" t="s">
        <v>174</v>
      </c>
      <c r="D14" s="0" t="s">
        <v>153</v>
      </c>
      <c r="E14" s="0" t="s">
        <v>114</v>
      </c>
      <c r="F14" s="0" t="s">
        <v>154</v>
      </c>
      <c r="G14" s="0">
        <v>0</v>
      </c>
      <c r="H14" s="0">
        <v>4</v>
      </c>
      <c r="I14" s="0">
        <v>6</v>
      </c>
      <c r="J14" s="0">
        <v>21</v>
      </c>
      <c r="K14" s="0">
        <v>12</v>
      </c>
      <c r="L14" s="0">
        <v>43</v>
      </c>
      <c r="M14" s="1">
        <f>=HYPERLINK("10.175.1.14\MWEB.12\TIER\EntityDetails.10.175.1.14.MWEB.12.shmweb0x0fp-.43.xlsx", "&lt;Detail&gt;")</f>
      </c>
      <c r="N14" s="1">
        <f>=HYPERLINK("10.175.1.14\MWEB.12\TIER\MetricGraphs.TIER.10.175.1.14.MWEB.12.xlsx", "&lt;Metrics&gt;")</f>
      </c>
      <c r="O14" s="1">
        <f>=HYPERLINK("10.175.1.14\MWEB.12\TIER\FlameGraph.Tier.10.175.1.14.MWEB.12.shmweb0x0fp-.43.svg", "&lt;FlGraph&gt;")</f>
      </c>
      <c r="P14" s="1">
        <f>=HYPERLINK("10.175.1.14\MWEB.12\TIER\FlameChart.Tier.10.175.1.14.MWEB.12.shmweb0x0fp-.43.svg", "&lt;FlChart&gt;")</f>
      </c>
      <c r="Q14" s="0" t="s">
        <v>101</v>
      </c>
      <c r="R14" s="0" t="s">
        <v>145</v>
      </c>
      <c r="S14" s="0" t="s">
        <v>175</v>
      </c>
    </row>
    <row r="15">
      <c r="A15" s="0" t="s">
        <v>28</v>
      </c>
      <c r="B15" s="0" t="s">
        <v>30</v>
      </c>
      <c r="C15" s="0" t="s">
        <v>176</v>
      </c>
      <c r="D15" s="0" t="s">
        <v>153</v>
      </c>
      <c r="E15" s="0" t="s">
        <v>114</v>
      </c>
      <c r="F15" s="0" t="s">
        <v>154</v>
      </c>
      <c r="G15" s="0">
        <v>0</v>
      </c>
      <c r="H15" s="0">
        <v>2</v>
      </c>
      <c r="I15" s="0">
        <v>2</v>
      </c>
      <c r="J15" s="0">
        <v>19</v>
      </c>
      <c r="K15" s="0">
        <v>12</v>
      </c>
      <c r="L15" s="0">
        <v>34</v>
      </c>
      <c r="M15" s="1">
        <f>=HYPERLINK("10.175.1.14\MWEB.12\TIER\EntityDetails.10.175.1.14.MWEB.12.shmweb0x0od-.34.xlsx", "&lt;Detail&gt;")</f>
      </c>
      <c r="N15" s="1">
        <f>=HYPERLINK("10.175.1.14\MWEB.12\TIER\MetricGraphs.TIER.10.175.1.14.MWEB.12.xlsx", "&lt;Metrics&gt;")</f>
      </c>
      <c r="O15" s="1">
        <f>=HYPERLINK("10.175.1.14\MWEB.12\TIER\FlameGraph.Tier.10.175.1.14.MWEB.12.shmweb0x0od-.34.svg", "&lt;FlGraph&gt;")</f>
      </c>
      <c r="P15" s="1">
        <f>=HYPERLINK("10.175.1.14\MWEB.12\TIER\FlameChart.Tier.10.175.1.14.MWEB.12.shmweb0x0od-.34.svg", "&lt;FlChart&gt;")</f>
      </c>
      <c r="Q15" s="0" t="s">
        <v>101</v>
      </c>
      <c r="R15" s="0" t="s">
        <v>145</v>
      </c>
      <c r="S15" s="0" t="s">
        <v>177</v>
      </c>
    </row>
    <row r="16">
      <c r="A16" s="0" t="s">
        <v>28</v>
      </c>
      <c r="B16" s="0" t="s">
        <v>30</v>
      </c>
      <c r="C16" s="0" t="s">
        <v>178</v>
      </c>
      <c r="D16" s="0" t="s">
        <v>153</v>
      </c>
      <c r="E16" s="0" t="s">
        <v>114</v>
      </c>
      <c r="F16" s="0" t="s">
        <v>154</v>
      </c>
      <c r="G16" s="0">
        <v>2</v>
      </c>
      <c r="H16" s="0">
        <v>4</v>
      </c>
      <c r="I16" s="0">
        <v>9</v>
      </c>
      <c r="J16" s="0">
        <v>13</v>
      </c>
      <c r="K16" s="0">
        <v>12</v>
      </c>
      <c r="L16" s="0">
        <v>49</v>
      </c>
      <c r="M16" s="1">
        <f>=HYPERLINK("10.175.1.14\MWEB.12\TIER\EntityDetails.10.175.1.14.MWEB.12.skmweb2x0am-.49.xlsx", "&lt;Detail&gt;")</f>
      </c>
      <c r="N16" s="1">
        <f>=HYPERLINK("10.175.1.14\MWEB.12\TIER\MetricGraphs.TIER.10.175.1.14.MWEB.12.xlsx", "&lt;Metrics&gt;")</f>
      </c>
      <c r="O16" s="1">
        <f>=HYPERLINK("10.175.1.14\MWEB.12\TIER\FlameGraph.Tier.10.175.1.14.MWEB.12.skmweb2x0am-.49.svg", "&lt;FlGraph&gt;")</f>
      </c>
      <c r="P16" s="1">
        <f>=HYPERLINK("10.175.1.14\MWEB.12\TIER\FlameChart.Tier.10.175.1.14.MWEB.12.skmweb2x0am-.49.svg", "&lt;FlChart&gt;")</f>
      </c>
      <c r="Q16" s="0" t="s">
        <v>101</v>
      </c>
      <c r="R16" s="0" t="s">
        <v>145</v>
      </c>
      <c r="S16" s="0" t="s">
        <v>179</v>
      </c>
    </row>
    <row r="17">
      <c r="A17" s="0" t="s">
        <v>28</v>
      </c>
      <c r="B17" s="0" t="s">
        <v>30</v>
      </c>
      <c r="C17" s="0" t="s">
        <v>180</v>
      </c>
      <c r="D17" s="0" t="s">
        <v>153</v>
      </c>
      <c r="E17" s="0" t="s">
        <v>114</v>
      </c>
      <c r="F17" s="0" t="s">
        <v>154</v>
      </c>
      <c r="G17" s="0">
        <v>1</v>
      </c>
      <c r="H17" s="0">
        <v>6</v>
      </c>
      <c r="I17" s="0">
        <v>10</v>
      </c>
      <c r="J17" s="0">
        <v>12</v>
      </c>
      <c r="K17" s="0">
        <v>12</v>
      </c>
      <c r="L17" s="0">
        <v>50</v>
      </c>
      <c r="M17" s="1">
        <f>=HYPERLINK("10.175.1.14\MWEB.12\TIER\EntityDetails.10.175.1.14.MWEB.12.skmweb2x0an-.50.xlsx", "&lt;Detail&gt;")</f>
      </c>
      <c r="N17" s="1">
        <f>=HYPERLINK("10.175.1.14\MWEB.12\TIER\MetricGraphs.TIER.10.175.1.14.MWEB.12.xlsx", "&lt;Metrics&gt;")</f>
      </c>
      <c r="O17" s="1">
        <f>=HYPERLINK("10.175.1.14\MWEB.12\TIER\FlameGraph.Tier.10.175.1.14.MWEB.12.skmweb2x0an-.50.svg", "&lt;FlGraph&gt;")</f>
      </c>
      <c r="P17" s="1">
        <f>=HYPERLINK("10.175.1.14\MWEB.12\TIER\FlameChart.Tier.10.175.1.14.MWEB.12.skmweb2x0an-.50.svg", "&lt;FlChart&gt;")</f>
      </c>
      <c r="Q17" s="0" t="s">
        <v>101</v>
      </c>
      <c r="R17" s="0" t="s">
        <v>145</v>
      </c>
      <c r="S17" s="0" t="s">
        <v>181</v>
      </c>
    </row>
    <row r="18">
      <c r="A18" s="0" t="s">
        <v>28</v>
      </c>
      <c r="B18" s="0" t="s">
        <v>30</v>
      </c>
      <c r="C18" s="0" t="s">
        <v>182</v>
      </c>
      <c r="D18" s="0" t="s">
        <v>153</v>
      </c>
      <c r="E18" s="0" t="s">
        <v>114</v>
      </c>
      <c r="F18" s="0" t="s">
        <v>154</v>
      </c>
      <c r="G18" s="0">
        <v>1</v>
      </c>
      <c r="H18" s="0">
        <v>2</v>
      </c>
      <c r="I18" s="0">
        <v>1</v>
      </c>
      <c r="J18" s="0">
        <v>2</v>
      </c>
      <c r="K18" s="0">
        <v>12</v>
      </c>
      <c r="L18" s="0">
        <v>52</v>
      </c>
      <c r="M18" s="1">
        <f>=HYPERLINK("10.175.1.14\MWEB.12\TIER\EntityDetails.10.175.1.14.MWEB.12.skmweb2x0an-.52.xlsx", "&lt;Detail&gt;")</f>
      </c>
      <c r="N18" s="1">
        <f>=HYPERLINK("10.175.1.14\MWEB.12\TIER\MetricGraphs.TIER.10.175.1.14.MWEB.12.xlsx", "&lt;Metrics&gt;")</f>
      </c>
      <c r="O18" s="1">
        <f>=HYPERLINK("10.175.1.14\MWEB.12\TIER\FlameGraph.Tier.10.175.1.14.MWEB.12.skmweb2x0an-.52.svg", "&lt;FlGraph&gt;")</f>
      </c>
      <c r="P18" s="1">
        <f>=HYPERLINK("10.175.1.14\MWEB.12\TIER\FlameChart.Tier.10.175.1.14.MWEB.12.skmweb2x0an-.52.svg", "&lt;FlChart&gt;")</f>
      </c>
      <c r="Q18" s="0" t="s">
        <v>101</v>
      </c>
      <c r="R18" s="0" t="s">
        <v>145</v>
      </c>
      <c r="S18" s="0" t="s">
        <v>183</v>
      </c>
    </row>
    <row r="19">
      <c r="A19" s="0" t="s">
        <v>28</v>
      </c>
      <c r="B19" s="0" t="s">
        <v>30</v>
      </c>
      <c r="C19" s="0" t="s">
        <v>184</v>
      </c>
      <c r="D19" s="0" t="s">
        <v>153</v>
      </c>
      <c r="E19" s="0" t="s">
        <v>114</v>
      </c>
      <c r="F19" s="0" t="s">
        <v>154</v>
      </c>
      <c r="G19" s="0">
        <v>1</v>
      </c>
      <c r="H19" s="0">
        <v>3</v>
      </c>
      <c r="I19" s="0">
        <v>3</v>
      </c>
      <c r="J19" s="0">
        <v>10</v>
      </c>
      <c r="K19" s="0">
        <v>12</v>
      </c>
      <c r="L19" s="0">
        <v>51</v>
      </c>
      <c r="M19" s="1">
        <f>=HYPERLINK("10.175.1.14\MWEB.12\TIER\EntityDetails.10.175.1.14.MWEB.12.skmweb2x0an-.51.xlsx", "&lt;Detail&gt;")</f>
      </c>
      <c r="N19" s="1">
        <f>=HYPERLINK("10.175.1.14\MWEB.12\TIER\MetricGraphs.TIER.10.175.1.14.MWEB.12.xlsx", "&lt;Metrics&gt;")</f>
      </c>
      <c r="O19" s="1">
        <f>=HYPERLINK("10.175.1.14\MWEB.12\TIER\FlameGraph.Tier.10.175.1.14.MWEB.12.skmweb2x0an-.51.svg", "&lt;FlGraph&gt;")</f>
      </c>
      <c r="P19" s="1">
        <f>=HYPERLINK("10.175.1.14\MWEB.12\TIER\FlameChart.Tier.10.175.1.14.MWEB.12.skmweb2x0an-.51.svg", "&lt;FlChart&gt;")</f>
      </c>
      <c r="Q19" s="0" t="s">
        <v>101</v>
      </c>
      <c r="R19" s="0" t="s">
        <v>145</v>
      </c>
      <c r="S19" s="0" t="s">
        <v>185</v>
      </c>
    </row>
    <row r="20">
      <c r="A20" s="0" t="s">
        <v>28</v>
      </c>
      <c r="B20" s="0" t="s">
        <v>30</v>
      </c>
      <c r="C20" s="0" t="s">
        <v>186</v>
      </c>
      <c r="D20" s="0" t="s">
        <v>153</v>
      </c>
      <c r="E20" s="0" t="s">
        <v>114</v>
      </c>
      <c r="F20" s="0" t="s">
        <v>154</v>
      </c>
      <c r="G20" s="0">
        <v>1</v>
      </c>
      <c r="H20" s="0">
        <v>1</v>
      </c>
      <c r="I20" s="0">
        <v>1</v>
      </c>
      <c r="J20" s="0">
        <v>9</v>
      </c>
      <c r="K20" s="0">
        <v>12</v>
      </c>
      <c r="L20" s="0">
        <v>54</v>
      </c>
      <c r="M20" s="1">
        <f>=HYPERLINK("10.175.1.14\MWEB.12\TIER\EntityDetails.10.175.1.14.MWEB.12.skmweb2x0at0.54.xlsx", "&lt;Detail&gt;")</f>
      </c>
      <c r="N20" s="1">
        <f>=HYPERLINK("10.175.1.14\MWEB.12\TIER\MetricGraphs.TIER.10.175.1.14.MWEB.12.xlsx", "&lt;Metrics&gt;")</f>
      </c>
      <c r="O20" s="1">
        <f>=HYPERLINK("10.175.1.14\MWEB.12\TIER\FlameGraph.Tier.10.175.1.14.MWEB.12.skmweb2x0at0.54.svg", "&lt;FlGraph&gt;")</f>
      </c>
      <c r="P20" s="1">
        <f>=HYPERLINK("10.175.1.14\MWEB.12\TIER\FlameChart.Tier.10.175.1.14.MWEB.12.skmweb2x0at0.54.svg", "&lt;FlChart&gt;")</f>
      </c>
      <c r="Q20" s="0" t="s">
        <v>101</v>
      </c>
      <c r="R20" s="0" t="s">
        <v>145</v>
      </c>
      <c r="S20" s="0" t="s">
        <v>187</v>
      </c>
    </row>
    <row r="21">
      <c r="A21" s="0" t="s">
        <v>28</v>
      </c>
      <c r="B21" s="0" t="s">
        <v>30</v>
      </c>
      <c r="C21" s="0" t="s">
        <v>188</v>
      </c>
      <c r="D21" s="0" t="s">
        <v>153</v>
      </c>
      <c r="E21" s="0" t="s">
        <v>114</v>
      </c>
      <c r="F21" s="0" t="s">
        <v>154</v>
      </c>
      <c r="G21" s="0">
        <v>1</v>
      </c>
      <c r="H21" s="0">
        <v>3</v>
      </c>
      <c r="I21" s="0">
        <v>6</v>
      </c>
      <c r="J21" s="0">
        <v>12</v>
      </c>
      <c r="K21" s="0">
        <v>12</v>
      </c>
      <c r="L21" s="0">
        <v>53</v>
      </c>
      <c r="M21" s="1">
        <f>=HYPERLINK("10.175.1.14\MWEB.12\TIER\EntityDetails.10.175.1.14.MWEB.12.skmweb2x0at-.53.xlsx", "&lt;Detail&gt;")</f>
      </c>
      <c r="N21" s="1">
        <f>=HYPERLINK("10.175.1.14\MWEB.12\TIER\MetricGraphs.TIER.10.175.1.14.MWEB.12.xlsx", "&lt;Metrics&gt;")</f>
      </c>
      <c r="O21" s="1">
        <f>=HYPERLINK("10.175.1.14\MWEB.12\TIER\FlameGraph.Tier.10.175.1.14.MWEB.12.skmweb2x0at-.53.svg", "&lt;FlGraph&gt;")</f>
      </c>
      <c r="P21" s="1">
        <f>=HYPERLINK("10.175.1.14\MWEB.12\TIER\FlameChart.Tier.10.175.1.14.MWEB.12.skmweb2x0at-.53.svg", "&lt;FlChart&gt;")</f>
      </c>
      <c r="Q21" s="0" t="s">
        <v>101</v>
      </c>
      <c r="R21" s="0" t="s">
        <v>145</v>
      </c>
      <c r="S21" s="0" t="s">
        <v>189</v>
      </c>
    </row>
    <row r="22">
      <c r="A22" s="0" t="s">
        <v>28</v>
      </c>
      <c r="B22" s="0" t="s">
        <v>30</v>
      </c>
      <c r="C22" s="0" t="s">
        <v>190</v>
      </c>
      <c r="D22" s="0" t="s">
        <v>153</v>
      </c>
      <c r="E22" s="0" t="s">
        <v>114</v>
      </c>
      <c r="F22" s="0" t="s">
        <v>154</v>
      </c>
      <c r="G22" s="0">
        <v>1</v>
      </c>
      <c r="H22" s="0">
        <v>1</v>
      </c>
      <c r="I22" s="0">
        <v>1</v>
      </c>
      <c r="J22" s="0">
        <v>9</v>
      </c>
      <c r="K22" s="0">
        <v>12</v>
      </c>
      <c r="L22" s="0">
        <v>56</v>
      </c>
      <c r="M22" s="1">
        <f>=HYPERLINK("10.175.1.14\MWEB.12\TIER\EntityDetails.10.175.1.14.MWEB.12.skmweb2x0at-.56.xlsx", "&lt;Detail&gt;")</f>
      </c>
      <c r="N22" s="1">
        <f>=HYPERLINK("10.175.1.14\MWEB.12\TIER\MetricGraphs.TIER.10.175.1.14.MWEB.12.xlsx", "&lt;Metrics&gt;")</f>
      </c>
      <c r="O22" s="1">
        <f>=HYPERLINK("10.175.1.14\MWEB.12\TIER\FlameGraph.Tier.10.175.1.14.MWEB.12.skmweb2x0at-.56.svg", "&lt;FlGraph&gt;")</f>
      </c>
      <c r="P22" s="1">
        <f>=HYPERLINK("10.175.1.14\MWEB.12\TIER\FlameChart.Tier.10.175.1.14.MWEB.12.skmweb2x0at-.56.svg", "&lt;FlChart&gt;")</f>
      </c>
      <c r="Q22" s="0" t="s">
        <v>101</v>
      </c>
      <c r="R22" s="0" t="s">
        <v>145</v>
      </c>
      <c r="S22" s="0" t="s">
        <v>191</v>
      </c>
    </row>
    <row r="23">
      <c r="A23" s="0" t="s">
        <v>28</v>
      </c>
      <c r="B23" s="0" t="s">
        <v>30</v>
      </c>
      <c r="C23" s="0" t="s">
        <v>192</v>
      </c>
      <c r="D23" s="0" t="s">
        <v>171</v>
      </c>
      <c r="E23" s="0" t="s">
        <v>114</v>
      </c>
      <c r="F23" s="0" t="s">
        <v>172</v>
      </c>
      <c r="G23" s="0">
        <v>0</v>
      </c>
      <c r="H23" s="0">
        <v>36</v>
      </c>
      <c r="I23" s="0">
        <v>0</v>
      </c>
      <c r="J23" s="0">
        <v>2</v>
      </c>
      <c r="K23" s="0">
        <v>12</v>
      </c>
      <c r="L23" s="0">
        <v>48</v>
      </c>
      <c r="M23" s="1">
        <f>=HYPERLINK("10.175.1.14\MWEB.12\TIER\EntityDetails.10.175.1.14.MWEB.12.skmweb2x0cp-.48.xlsx", "&lt;Detail&gt;")</f>
      </c>
      <c r="N23" s="1">
        <f>=HYPERLINK("10.175.1.14\MWEB.12\TIER\MetricGraphs.TIER.10.175.1.14.MWEB.12.xlsx", "&lt;Metrics&gt;")</f>
      </c>
      <c r="O23" s="1">
        <f>=HYPERLINK("10.175.1.14\MWEB.12\TIER\FlameGraph.Tier.10.175.1.14.MWEB.12.skmweb2x0cp-.48.svg", "&lt;FlGraph&gt;")</f>
      </c>
      <c r="P23" s="1">
        <f>=HYPERLINK("10.175.1.14\MWEB.12\TIER\FlameChart.Tier.10.175.1.14.MWEB.12.skmweb2x0cp-.48.svg", "&lt;FlChart&gt;")</f>
      </c>
      <c r="Q23" s="0" t="s">
        <v>101</v>
      </c>
      <c r="R23" s="0" t="s">
        <v>145</v>
      </c>
      <c r="S23" s="0" t="s">
        <v>193</v>
      </c>
    </row>
    <row r="24">
      <c r="A24" s="0" t="s">
        <v>28</v>
      </c>
      <c r="B24" s="0" t="s">
        <v>30</v>
      </c>
      <c r="C24" s="0" t="s">
        <v>194</v>
      </c>
      <c r="D24" s="0" t="s">
        <v>153</v>
      </c>
      <c r="E24" s="0" t="s">
        <v>114</v>
      </c>
      <c r="F24" s="0" t="s">
        <v>154</v>
      </c>
      <c r="G24" s="0">
        <v>1</v>
      </c>
      <c r="H24" s="0">
        <v>4</v>
      </c>
      <c r="I24" s="0">
        <v>6</v>
      </c>
      <c r="J24" s="0">
        <v>20</v>
      </c>
      <c r="K24" s="0">
        <v>12</v>
      </c>
      <c r="L24" s="0">
        <v>55</v>
      </c>
      <c r="M24" s="1">
        <f>=HYPERLINK("10.175.1.14\MWEB.12\TIER\EntityDetails.10.175.1.14.MWEB.12.skmweb2x0fp-.55.xlsx", "&lt;Detail&gt;")</f>
      </c>
      <c r="N24" s="1">
        <f>=HYPERLINK("10.175.1.14\MWEB.12\TIER\MetricGraphs.TIER.10.175.1.14.MWEB.12.xlsx", "&lt;Metrics&gt;")</f>
      </c>
      <c r="O24" s="1">
        <f>=HYPERLINK("10.175.1.14\MWEB.12\TIER\FlameGraph.Tier.10.175.1.14.MWEB.12.skmweb2x0fp-.55.svg", "&lt;FlGraph&gt;")</f>
      </c>
      <c r="P24" s="1">
        <f>=HYPERLINK("10.175.1.14\MWEB.12\TIER\FlameChart.Tier.10.175.1.14.MWEB.12.skmweb2x0fp-.55.svg", "&lt;FlChart&gt;")</f>
      </c>
      <c r="Q24" s="0" t="s">
        <v>101</v>
      </c>
      <c r="R24" s="0" t="s">
        <v>145</v>
      </c>
      <c r="S24" s="0" t="s">
        <v>195</v>
      </c>
    </row>
    <row r="25">
      <c r="A25" s="0" t="s">
        <v>28</v>
      </c>
      <c r="B25" s="0" t="s">
        <v>30</v>
      </c>
      <c r="C25" s="0" t="s">
        <v>196</v>
      </c>
      <c r="D25" s="0" t="s">
        <v>153</v>
      </c>
      <c r="E25" s="0" t="s">
        <v>114</v>
      </c>
      <c r="F25" s="0" t="s">
        <v>154</v>
      </c>
      <c r="G25" s="0">
        <v>3</v>
      </c>
      <c r="H25" s="0">
        <v>3</v>
      </c>
      <c r="I25" s="0">
        <v>3</v>
      </c>
      <c r="J25" s="0">
        <v>7</v>
      </c>
      <c r="K25" s="0">
        <v>12</v>
      </c>
      <c r="L25" s="0">
        <v>47</v>
      </c>
      <c r="M25" s="1">
        <f>=HYPERLINK("10.175.1.14\MWEB.12\TIER\EntityDetails.10.175.1.14.MWEB.12.skmweb2x0od-.47.xlsx", "&lt;Detail&gt;")</f>
      </c>
      <c r="N25" s="1">
        <f>=HYPERLINK("10.175.1.14\MWEB.12\TIER\MetricGraphs.TIER.10.175.1.14.MWEB.12.xlsx", "&lt;Metrics&gt;")</f>
      </c>
      <c r="O25" s="1">
        <f>=HYPERLINK("10.175.1.14\MWEB.12\TIER\FlameGraph.Tier.10.175.1.14.MWEB.12.skmweb2x0od-.47.svg", "&lt;FlGraph&gt;")</f>
      </c>
      <c r="P25" s="1">
        <f>=HYPERLINK("10.175.1.14\MWEB.12\TIER\FlameChart.Tier.10.175.1.14.MWEB.12.skmweb2x0od-.47.svg", "&lt;FlChart&gt;")</f>
      </c>
      <c r="Q25" s="0" t="s">
        <v>101</v>
      </c>
      <c r="R25" s="0" t="s">
        <v>145</v>
      </c>
      <c r="S25" s="0" t="s">
        <v>197</v>
      </c>
    </row>
  </sheetData>
  <conditionalFormatting sqref="G5:G25">
    <cfRule priority="1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H5:H25">
    <cfRule priority="2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I5:I25">
    <cfRule priority="3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J5:J25">
    <cfRule priority="4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=HYPERLINK("#'6.Tiers'!A1", "&lt;Go&gt;")</f>
      </c>
    </row>
  </sheetData>
  <headerFooter/>
  <drawing r:id="rId2"/>
</worksheet>
</file>

<file path=xl/worksheets/sheet8.xml><?xml version="1.0" encoding="utf-8"?>
<worksheet xmlns:r="http://schemas.openxmlformats.org/officeDocument/2006/relationships" xmlns="http://schemas.openxmlformats.org/spreadsheetml/2006/main">
  <dimension ref="A1:BL17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5" customWidth="1"/>
    <col min="3" max="3" width="15" customWidth="1"/>
    <col min="4" max="4" width="20" customWidth="1"/>
    <col min="5" max="5" width="10" customWidth="1"/>
    <col min="6" max="6" width="10" customWidth="1"/>
    <col min="9" max="9" width="20" customWidth="1"/>
    <col min="10" max="10" width="1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199</v>
      </c>
      <c r="B2" s="1">
        <f>=HYPERLINK("#'7.Nodes.Type.AppAgent'!A1", "&lt;Go&gt;")</f>
      </c>
      <c r="C2" s="0" t="s">
        <v>200</v>
      </c>
      <c r="D2" s="1">
        <f>=HYPERLINK("#'7.Nodes.Host.Type'!A1", "&lt;Go&gt;")</f>
      </c>
      <c r="E2" s="0" t="s">
        <v>201</v>
      </c>
      <c r="F2" s="1">
        <f>=HYPERLINK("#'7.Nodes.Runtime.Version'!A1", "&lt;Go&gt;")</f>
      </c>
    </row>
    <row r="3">
      <c r="A3" s="0" t="s">
        <v>202</v>
      </c>
      <c r="B3" s="1">
        <f>=HYPERLINK("#'7.Nodes.Type.MachineAgent'!A1", "&lt;Go&gt;")</f>
      </c>
      <c r="C3" s="0" t="s">
        <v>203</v>
      </c>
      <c r="D3" s="1">
        <f>=HYPERLINK("#'7.Nodes.Heap.Size'!A1", "&lt;Go&gt;")</f>
      </c>
    </row>
    <row r="4">
      <c r="A4" s="0" t="s">
        <v>23</v>
      </c>
      <c r="B4" s="0" t="s">
        <v>102</v>
      </c>
      <c r="C4" s="0" t="s">
        <v>147</v>
      </c>
      <c r="D4" s="0" t="s">
        <v>204</v>
      </c>
      <c r="E4" s="0" t="s">
        <v>149</v>
      </c>
      <c r="F4" s="0" t="s">
        <v>205</v>
      </c>
      <c r="G4" s="0" t="s">
        <v>206</v>
      </c>
      <c r="H4" s="0" t="s">
        <v>207</v>
      </c>
      <c r="I4" s="0" t="s">
        <v>208</v>
      </c>
      <c r="J4" s="0" t="s">
        <v>209</v>
      </c>
      <c r="K4" s="0" t="s">
        <v>210</v>
      </c>
      <c r="L4" s="0" t="s">
        <v>211</v>
      </c>
      <c r="M4" s="0" t="s">
        <v>212</v>
      </c>
      <c r="N4" s="0" t="s">
        <v>213</v>
      </c>
      <c r="O4" s="0" t="s">
        <v>214</v>
      </c>
      <c r="P4" s="0" t="s">
        <v>215</v>
      </c>
      <c r="Q4" s="0" t="s">
        <v>216</v>
      </c>
      <c r="R4" s="0" t="s">
        <v>217</v>
      </c>
      <c r="S4" s="0" t="s">
        <v>218</v>
      </c>
      <c r="T4" s="0" t="s">
        <v>219</v>
      </c>
      <c r="U4" s="0" t="s">
        <v>220</v>
      </c>
      <c r="V4" s="0" t="s">
        <v>221</v>
      </c>
      <c r="W4" s="0" t="s">
        <v>222</v>
      </c>
      <c r="X4" s="0" t="s">
        <v>223</v>
      </c>
      <c r="Y4" s="0" t="s">
        <v>224</v>
      </c>
      <c r="Z4" s="0" t="s">
        <v>225</v>
      </c>
      <c r="AA4" s="0" t="s">
        <v>226</v>
      </c>
      <c r="AB4" s="0" t="s">
        <v>227</v>
      </c>
      <c r="AC4" s="0" t="s">
        <v>228</v>
      </c>
      <c r="AD4" s="0" t="s">
        <v>229</v>
      </c>
      <c r="AE4" s="0" t="s">
        <v>230</v>
      </c>
      <c r="AF4" s="0" t="s">
        <v>231</v>
      </c>
      <c r="AG4" s="0" t="s">
        <v>232</v>
      </c>
      <c r="AH4" s="0" t="s">
        <v>233</v>
      </c>
      <c r="AI4" s="0" t="s">
        <v>234</v>
      </c>
      <c r="AJ4" s="0" t="s">
        <v>2</v>
      </c>
      <c r="AK4" s="0" t="s">
        <v>235</v>
      </c>
      <c r="AL4" s="0" t="s">
        <v>236</v>
      </c>
      <c r="AM4" s="0" t="s">
        <v>237</v>
      </c>
      <c r="AN4" s="0" t="s">
        <v>238</v>
      </c>
      <c r="AO4" s="0" t="s">
        <v>239</v>
      </c>
      <c r="AP4" s="0" t="s">
        <v>240</v>
      </c>
      <c r="AQ4" s="0" t="s">
        <v>241</v>
      </c>
      <c r="AR4" s="0" t="s">
        <v>242</v>
      </c>
      <c r="AS4" s="0" t="s">
        <v>243</v>
      </c>
      <c r="AT4" s="0" t="s">
        <v>244</v>
      </c>
      <c r="AU4" s="0" t="s">
        <v>245</v>
      </c>
      <c r="AV4" s="0" t="s">
        <v>24</v>
      </c>
      <c r="AW4" s="0" t="s">
        <v>246</v>
      </c>
      <c r="AX4" s="0" t="s">
        <v>247</v>
      </c>
      <c r="AY4" s="0" t="s">
        <v>248</v>
      </c>
      <c r="AZ4" s="0" t="s">
        <v>249</v>
      </c>
      <c r="BA4" s="0" t="s">
        <v>26</v>
      </c>
      <c r="BB4" s="0" t="s">
        <v>150</v>
      </c>
      <c r="BC4" s="0" t="s">
        <v>250</v>
      </c>
      <c r="BD4" s="0" t="s">
        <v>251</v>
      </c>
      <c r="BE4" s="0" t="s">
        <v>140</v>
      </c>
      <c r="BF4" s="0" t="s">
        <v>141</v>
      </c>
      <c r="BG4" s="0" t="s">
        <v>142</v>
      </c>
      <c r="BH4" s="0" t="s">
        <v>143</v>
      </c>
      <c r="BI4" s="0" t="s">
        <v>98</v>
      </c>
      <c r="BJ4" s="0" t="s">
        <v>144</v>
      </c>
      <c r="BK4" s="0" t="s">
        <v>151</v>
      </c>
      <c r="BL4" s="0" t="s">
        <v>252</v>
      </c>
    </row>
    <row r="5">
      <c r="A5" s="0" t="s">
        <v>28</v>
      </c>
      <c r="B5" s="0" t="s">
        <v>30</v>
      </c>
      <c r="C5" s="0" t="s">
        <v>152</v>
      </c>
      <c r="D5" s="0" t="s">
        <v>253</v>
      </c>
      <c r="E5" s="0" t="s">
        <v>254</v>
      </c>
      <c r="F5" s="0" t="s">
        <v>114</v>
      </c>
      <c r="G5" s="0" t="s">
        <v>114</v>
      </c>
      <c r="H5" s="0" t="b">
        <v>0</v>
      </c>
      <c r="I5" s="0" t="s">
        <v>253</v>
      </c>
      <c r="J5" s="0" t="s">
        <v>255</v>
      </c>
      <c r="K5" s="0" t="s">
        <v>256</v>
      </c>
      <c r="L5" s="0" t="b">
        <v>1</v>
      </c>
      <c r="M5" s="0" t="s">
        <v>257</v>
      </c>
      <c r="N5" s="0" t="s">
        <v>258</v>
      </c>
      <c r="O5" s="0" t="s">
        <v>114</v>
      </c>
      <c r="P5" s="0" t="s">
        <v>114</v>
      </c>
      <c r="Q5" s="2">
        <v>0</v>
      </c>
      <c r="R5" s="2">
        <v>0</v>
      </c>
      <c r="S5" s="0" t="b">
        <v>0</v>
      </c>
      <c r="T5" s="0" t="b">
        <v>0</v>
      </c>
      <c r="U5" s="0" t="s">
        <v>114</v>
      </c>
      <c r="V5" s="0" t="s">
        <v>114</v>
      </c>
      <c r="W5" s="0" t="s">
        <v>114</v>
      </c>
      <c r="X5" s="0" t="s">
        <v>114</v>
      </c>
      <c r="Y5" s="0" t="s">
        <v>114</v>
      </c>
      <c r="Z5" s="0" t="s">
        <v>114</v>
      </c>
      <c r="AA5" s="0" t="s">
        <v>114</v>
      </c>
      <c r="AB5" s="0" t="s">
        <v>114</v>
      </c>
      <c r="AC5" s="0" t="s">
        <v>114</v>
      </c>
      <c r="AD5" s="0" t="s">
        <v>114</v>
      </c>
      <c r="AE5" s="0" t="s">
        <v>114</v>
      </c>
      <c r="AF5" s="0" t="s">
        <v>114</v>
      </c>
      <c r="AG5" s="0" t="s">
        <v>114</v>
      </c>
      <c r="AH5" s="0" t="s">
        <v>114</v>
      </c>
      <c r="AI5" s="0" t="s">
        <v>114</v>
      </c>
      <c r="AJ5" s="0" t="s">
        <v>114</v>
      </c>
      <c r="AK5" s="0" t="s">
        <v>114</v>
      </c>
      <c r="AL5" s="0" t="s">
        <v>114</v>
      </c>
      <c r="AM5" s="0" t="s">
        <v>114</v>
      </c>
      <c r="AN5" s="0" t="s">
        <v>114</v>
      </c>
      <c r="AO5" s="0" t="s">
        <v>114</v>
      </c>
      <c r="AP5" s="0" t="s">
        <v>114</v>
      </c>
      <c r="AQ5" s="0" t="s">
        <v>114</v>
      </c>
      <c r="AR5" s="0" t="s">
        <v>114</v>
      </c>
      <c r="AS5" s="0" t="s">
        <v>114</v>
      </c>
      <c r="AT5" s="0" t="s">
        <v>114</v>
      </c>
      <c r="AU5" s="0" t="s">
        <v>114</v>
      </c>
      <c r="AV5" s="0" t="s">
        <v>114</v>
      </c>
      <c r="AW5" s="0" t="s">
        <v>114</v>
      </c>
      <c r="AX5" s="0">
        <v>0</v>
      </c>
      <c r="AY5" s="0">
        <v>0</v>
      </c>
      <c r="AZ5" s="0">
        <v>0</v>
      </c>
      <c r="BA5" s="0">
        <v>12</v>
      </c>
      <c r="BB5" s="0">
        <v>33</v>
      </c>
      <c r="BC5" s="0">
        <v>703</v>
      </c>
      <c r="BD5" s="0">
        <v>401</v>
      </c>
      <c r="BE5" s="1">
        <f>=HYPERLINK("10.175.1.14\MWEB.12\NODE\EntityDetails.10.175.1.14.MWEB.12.skcaws1c0mo0.703.xlsx", "&lt;Detail&gt;")</f>
      </c>
      <c r="BF5" s="1">
        <f>=HYPERLINK("10.175.1.14\MWEB.12\NODE\MetricGraphs.NODE.10.175.1.14.MWEB.12.xlsx", "&lt;Metrics&gt;")</f>
      </c>
      <c r="BG5" s="1">
        <f>=HYPERLINK("10.175.1.14\MWEB.12\NODE\FlameGraph.Node.10.175.1.14.MWEB.12.skcaws1c0mo0.703.svg", "&lt;FlGraph&gt;")</f>
      </c>
      <c r="BH5" s="1">
        <f>=HYPERLINK("10.175.1.14\MWEB.12\NODE\FlameChart.Node.10.175.1.14.MWEB.12.skcaws1c0mo0.703.svg", "&lt;FlChart&gt;")</f>
      </c>
      <c r="BI5" s="0" t="s">
        <v>101</v>
      </c>
      <c r="BJ5" s="0" t="s">
        <v>145</v>
      </c>
      <c r="BK5" s="0" t="s">
        <v>155</v>
      </c>
      <c r="BL5" s="0" t="s">
        <v>259</v>
      </c>
    </row>
    <row r="6">
      <c r="A6" s="0" t="s">
        <v>28</v>
      </c>
      <c r="B6" s="0" t="s">
        <v>30</v>
      </c>
      <c r="C6" s="0" t="s">
        <v>178</v>
      </c>
      <c r="D6" s="0" t="s">
        <v>260</v>
      </c>
      <c r="E6" s="0" t="s">
        <v>154</v>
      </c>
      <c r="F6" s="0" t="s">
        <v>261</v>
      </c>
      <c r="G6" s="0" t="s">
        <v>262</v>
      </c>
      <c r="H6" s="0" t="b">
        <v>1</v>
      </c>
      <c r="I6" s="0" t="s">
        <v>263</v>
      </c>
      <c r="J6" s="0" t="s">
        <v>255</v>
      </c>
      <c r="K6" s="0" t="s">
        <v>256</v>
      </c>
      <c r="L6" s="0" t="b">
        <v>1</v>
      </c>
      <c r="M6" s="0" t="s">
        <v>257</v>
      </c>
      <c r="N6" s="0" t="s">
        <v>258</v>
      </c>
      <c r="O6" s="0" t="s">
        <v>264</v>
      </c>
      <c r="P6" s="0" t="s">
        <v>265</v>
      </c>
      <c r="Q6" s="2">
        <v>44588.748245613424</v>
      </c>
      <c r="R6" s="2">
        <v>44610.940507465275</v>
      </c>
      <c r="S6" s="0" t="b">
        <v>0</v>
      </c>
      <c r="T6" s="0" t="b">
        <v>0</v>
      </c>
      <c r="U6" s="0" t="s">
        <v>266</v>
      </c>
      <c r="V6" s="0" t="s">
        <v>114</v>
      </c>
      <c r="W6" s="0" t="s">
        <v>114</v>
      </c>
      <c r="X6" s="0" t="s">
        <v>114</v>
      </c>
      <c r="Y6" s="0">
        <v>1024</v>
      </c>
      <c r="Z6" s="0">
        <v>1024</v>
      </c>
      <c r="AA6" s="0" t="s">
        <v>114</v>
      </c>
      <c r="AB6" s="0" t="s">
        <v>114</v>
      </c>
      <c r="AC6" s="0" t="s">
        <v>267</v>
      </c>
      <c r="AD6" s="0" t="s">
        <v>268</v>
      </c>
      <c r="AE6" s="0" t="s">
        <v>269</v>
      </c>
      <c r="AF6" s="0" t="s">
        <v>270</v>
      </c>
      <c r="AG6" s="0" t="s">
        <v>271</v>
      </c>
      <c r="AH6" s="0" t="s">
        <v>272</v>
      </c>
      <c r="AI6" s="0" t="s">
        <v>114</v>
      </c>
      <c r="AJ6" s="0" t="s">
        <v>273</v>
      </c>
      <c r="AK6" s="0" t="s">
        <v>274</v>
      </c>
      <c r="AL6" s="0" t="s">
        <v>275</v>
      </c>
      <c r="AM6" s="0" t="s">
        <v>272</v>
      </c>
      <c r="AN6" s="0" t="s">
        <v>276</v>
      </c>
      <c r="AO6" s="0" t="s">
        <v>277</v>
      </c>
      <c r="AP6" s="0" t="s">
        <v>257</v>
      </c>
      <c r="AQ6" s="0" t="s">
        <v>278</v>
      </c>
      <c r="AR6" s="0" t="s">
        <v>263</v>
      </c>
      <c r="AS6" s="0" t="s">
        <v>114</v>
      </c>
      <c r="AT6" s="0" t="s">
        <v>114</v>
      </c>
      <c r="AU6" s="0" t="s">
        <v>114</v>
      </c>
      <c r="AV6" s="0" t="s">
        <v>279</v>
      </c>
      <c r="AW6" s="0" t="s">
        <v>114</v>
      </c>
      <c r="AX6" s="0">
        <v>16</v>
      </c>
      <c r="AY6" s="0">
        <v>67</v>
      </c>
      <c r="AZ6" s="0">
        <v>86</v>
      </c>
      <c r="BA6" s="0">
        <v>12</v>
      </c>
      <c r="BB6" s="0">
        <v>49</v>
      </c>
      <c r="BC6" s="0">
        <v>2774</v>
      </c>
      <c r="BD6" s="0">
        <v>3078</v>
      </c>
      <c r="BE6" s="1">
        <f>=HYPERLINK("10.175.1.14\MWEB.12\NODE\EntityDetails.10.175.1.14.MWEB.12.skmweb2x0am0.2774.xlsx", "&lt;Detail&gt;")</f>
      </c>
      <c r="BF6" s="1">
        <f>=HYPERLINK("10.175.1.14\MWEB.12\NODE\MetricGraphs.NODE.10.175.1.14.MWEB.12.xlsx", "&lt;Metrics&gt;")</f>
      </c>
      <c r="BG6" s="1">
        <f>=HYPERLINK("10.175.1.14\MWEB.12\NODE\FlameGraph.Node.10.175.1.14.MWEB.12.skmweb2x0am0.2774.svg", "&lt;FlGraph&gt;")</f>
      </c>
      <c r="BH6" s="1">
        <f>=HYPERLINK("10.175.1.14\MWEB.12\NODE\FlameChart.Node.10.175.1.14.MWEB.12.skmweb2x0am0.2774.svg", "&lt;FlChart&gt;")</f>
      </c>
      <c r="BI6" s="0" t="s">
        <v>101</v>
      </c>
      <c r="BJ6" s="0" t="s">
        <v>145</v>
      </c>
      <c r="BK6" s="0" t="s">
        <v>179</v>
      </c>
      <c r="BL6" s="0" t="s">
        <v>280</v>
      </c>
    </row>
    <row r="7">
      <c r="A7" s="0" t="s">
        <v>28</v>
      </c>
      <c r="B7" s="0" t="s">
        <v>30</v>
      </c>
      <c r="C7" s="0" t="s">
        <v>178</v>
      </c>
      <c r="D7" s="0" t="s">
        <v>281</v>
      </c>
      <c r="E7" s="0" t="s">
        <v>154</v>
      </c>
      <c r="F7" s="0" t="s">
        <v>261</v>
      </c>
      <c r="G7" s="0" t="s">
        <v>262</v>
      </c>
      <c r="H7" s="0" t="b">
        <v>1</v>
      </c>
      <c r="I7" s="0" t="s">
        <v>263</v>
      </c>
      <c r="J7" s="0" t="s">
        <v>255</v>
      </c>
      <c r="K7" s="0" t="s">
        <v>256</v>
      </c>
      <c r="L7" s="0" t="b">
        <v>1</v>
      </c>
      <c r="M7" s="0" t="s">
        <v>257</v>
      </c>
      <c r="N7" s="0" t="s">
        <v>258</v>
      </c>
      <c r="O7" s="0" t="s">
        <v>264</v>
      </c>
      <c r="P7" s="0" t="s">
        <v>265</v>
      </c>
      <c r="Q7" s="2">
        <v>44588.750324953704</v>
      </c>
      <c r="R7" s="2">
        <v>44610.94077508102</v>
      </c>
      <c r="S7" s="0" t="b">
        <v>0</v>
      </c>
      <c r="T7" s="0" t="b">
        <v>0</v>
      </c>
      <c r="U7" s="0" t="s">
        <v>266</v>
      </c>
      <c r="V7" s="0" t="s">
        <v>114</v>
      </c>
      <c r="W7" s="0" t="s">
        <v>114</v>
      </c>
      <c r="X7" s="0" t="s">
        <v>114</v>
      </c>
      <c r="Y7" s="0">
        <v>1024</v>
      </c>
      <c r="Z7" s="0">
        <v>1024</v>
      </c>
      <c r="AA7" s="0" t="s">
        <v>114</v>
      </c>
      <c r="AB7" s="0" t="s">
        <v>114</v>
      </c>
      <c r="AC7" s="0" t="s">
        <v>267</v>
      </c>
      <c r="AD7" s="0" t="s">
        <v>268</v>
      </c>
      <c r="AE7" s="0" t="s">
        <v>269</v>
      </c>
      <c r="AF7" s="0" t="s">
        <v>270</v>
      </c>
      <c r="AG7" s="0" t="s">
        <v>271</v>
      </c>
      <c r="AH7" s="0" t="s">
        <v>272</v>
      </c>
      <c r="AI7" s="0" t="s">
        <v>114</v>
      </c>
      <c r="AJ7" s="0" t="s">
        <v>273</v>
      </c>
      <c r="AK7" s="0" t="s">
        <v>274</v>
      </c>
      <c r="AL7" s="0" t="s">
        <v>275</v>
      </c>
      <c r="AM7" s="0" t="s">
        <v>272</v>
      </c>
      <c r="AN7" s="0" t="s">
        <v>276</v>
      </c>
      <c r="AO7" s="0" t="s">
        <v>277</v>
      </c>
      <c r="AP7" s="0" t="s">
        <v>257</v>
      </c>
      <c r="AQ7" s="0" t="s">
        <v>278</v>
      </c>
      <c r="AR7" s="0" t="s">
        <v>263</v>
      </c>
      <c r="AS7" s="0" t="s">
        <v>114</v>
      </c>
      <c r="AT7" s="0" t="s">
        <v>114</v>
      </c>
      <c r="AU7" s="0" t="s">
        <v>114</v>
      </c>
      <c r="AV7" s="0" t="s">
        <v>279</v>
      </c>
      <c r="AW7" s="0" t="s">
        <v>114</v>
      </c>
      <c r="AX7" s="0">
        <v>16</v>
      </c>
      <c r="AY7" s="0">
        <v>67</v>
      </c>
      <c r="AZ7" s="0">
        <v>86</v>
      </c>
      <c r="BA7" s="0">
        <v>12</v>
      </c>
      <c r="BB7" s="0">
        <v>49</v>
      </c>
      <c r="BC7" s="0">
        <v>2775</v>
      </c>
      <c r="BD7" s="0">
        <v>3078</v>
      </c>
      <c r="BE7" s="1">
        <f>=HYPERLINK("10.175.1.14\MWEB.12\NODE\EntityDetails.10.175.1.14.MWEB.12.skmweb2x0am0.2775.xlsx", "&lt;Detail&gt;")</f>
      </c>
      <c r="BF7" s="1">
        <f>=HYPERLINK("10.175.1.14\MWEB.12\NODE\MetricGraphs.NODE.10.175.1.14.MWEB.12.xlsx", "&lt;Metrics&gt;")</f>
      </c>
      <c r="BG7" s="1">
        <f>=HYPERLINK("10.175.1.14\MWEB.12\NODE\FlameGraph.Node.10.175.1.14.MWEB.12.skmweb2x0am0.2775.svg", "&lt;FlGraph&gt;")</f>
      </c>
      <c r="BH7" s="1">
        <f>=HYPERLINK("10.175.1.14\MWEB.12\NODE\FlameChart.Node.10.175.1.14.MWEB.12.skmweb2x0am0.2775.svg", "&lt;FlChart&gt;")</f>
      </c>
      <c r="BI7" s="0" t="s">
        <v>101</v>
      </c>
      <c r="BJ7" s="0" t="s">
        <v>145</v>
      </c>
      <c r="BK7" s="0" t="s">
        <v>179</v>
      </c>
      <c r="BL7" s="0" t="s">
        <v>282</v>
      </c>
    </row>
    <row r="8">
      <c r="A8" s="0" t="s">
        <v>28</v>
      </c>
      <c r="B8" s="0" t="s">
        <v>30</v>
      </c>
      <c r="C8" s="0" t="s">
        <v>180</v>
      </c>
      <c r="D8" s="0" t="s">
        <v>283</v>
      </c>
      <c r="E8" s="0" t="s">
        <v>154</v>
      </c>
      <c r="F8" s="0" t="s">
        <v>261</v>
      </c>
      <c r="G8" s="0" t="s">
        <v>262</v>
      </c>
      <c r="H8" s="0" t="b">
        <v>1</v>
      </c>
      <c r="I8" s="0" t="s">
        <v>284</v>
      </c>
      <c r="J8" s="0" t="s">
        <v>255</v>
      </c>
      <c r="K8" s="0" t="s">
        <v>256</v>
      </c>
      <c r="L8" s="0" t="b">
        <v>1</v>
      </c>
      <c r="M8" s="0" t="s">
        <v>257</v>
      </c>
      <c r="N8" s="0" t="s">
        <v>258</v>
      </c>
      <c r="O8" s="0" t="s">
        <v>264</v>
      </c>
      <c r="P8" s="0" t="s">
        <v>265</v>
      </c>
      <c r="Q8" s="2">
        <v>44594.940163148145</v>
      </c>
      <c r="R8" s="2">
        <v>44613.49156127315</v>
      </c>
      <c r="S8" s="0" t="b">
        <v>0</v>
      </c>
      <c r="T8" s="0" t="b">
        <v>0</v>
      </c>
      <c r="U8" s="0" t="s">
        <v>266</v>
      </c>
      <c r="V8" s="0" t="s">
        <v>114</v>
      </c>
      <c r="W8" s="0" t="s">
        <v>114</v>
      </c>
      <c r="X8" s="0" t="s">
        <v>114</v>
      </c>
      <c r="Y8" s="0">
        <v>256</v>
      </c>
      <c r="Z8" s="0">
        <v>512</v>
      </c>
      <c r="AA8" s="0" t="s">
        <v>114</v>
      </c>
      <c r="AB8" s="0" t="s">
        <v>114</v>
      </c>
      <c r="AC8" s="0" t="s">
        <v>285</v>
      </c>
      <c r="AD8" s="0" t="s">
        <v>268</v>
      </c>
      <c r="AE8" s="0" t="s">
        <v>269</v>
      </c>
      <c r="AF8" s="0" t="s">
        <v>270</v>
      </c>
      <c r="AG8" s="0" t="s">
        <v>271</v>
      </c>
      <c r="AH8" s="0" t="s">
        <v>272</v>
      </c>
      <c r="AI8" s="0" t="s">
        <v>114</v>
      </c>
      <c r="AJ8" s="0" t="s">
        <v>273</v>
      </c>
      <c r="AK8" s="0" t="s">
        <v>274</v>
      </c>
      <c r="AL8" s="0" t="s">
        <v>275</v>
      </c>
      <c r="AM8" s="0" t="s">
        <v>272</v>
      </c>
      <c r="AN8" s="0" t="s">
        <v>276</v>
      </c>
      <c r="AO8" s="0" t="s">
        <v>277</v>
      </c>
      <c r="AP8" s="0" t="s">
        <v>257</v>
      </c>
      <c r="AQ8" s="0" t="s">
        <v>286</v>
      </c>
      <c r="AR8" s="0" t="s">
        <v>284</v>
      </c>
      <c r="AS8" s="0" t="s">
        <v>114</v>
      </c>
      <c r="AT8" s="0" t="s">
        <v>114</v>
      </c>
      <c r="AU8" s="0" t="s">
        <v>114</v>
      </c>
      <c r="AV8" s="0" t="s">
        <v>287</v>
      </c>
      <c r="AW8" s="0" t="s">
        <v>114</v>
      </c>
      <c r="AX8" s="0">
        <v>16</v>
      </c>
      <c r="AY8" s="0">
        <v>67</v>
      </c>
      <c r="AZ8" s="0">
        <v>90</v>
      </c>
      <c r="BA8" s="0">
        <v>12</v>
      </c>
      <c r="BB8" s="0">
        <v>50</v>
      </c>
      <c r="BC8" s="0">
        <v>2784</v>
      </c>
      <c r="BD8" s="0">
        <v>3345</v>
      </c>
      <c r="BE8" s="1">
        <f>=HYPERLINK("10.175.1.14\MWEB.12\NODE\EntityDetails.10.175.1.14.MWEB.12.skmweb2x0an0.2784.xlsx", "&lt;Detail&gt;")</f>
      </c>
      <c r="BF8" s="1">
        <f>=HYPERLINK("10.175.1.14\MWEB.12\NODE\MetricGraphs.NODE.10.175.1.14.MWEB.12.xlsx", "&lt;Metrics&gt;")</f>
      </c>
      <c r="BG8" s="1">
        <f>=HYPERLINK("10.175.1.14\MWEB.12\NODE\FlameGraph.Node.10.175.1.14.MWEB.12.skmweb2x0an0.2784.svg", "&lt;FlGraph&gt;")</f>
      </c>
      <c r="BH8" s="1">
        <f>=HYPERLINK("10.175.1.14\MWEB.12\NODE\FlameChart.Node.10.175.1.14.MWEB.12.skmweb2x0an0.2784.svg", "&lt;FlChart&gt;")</f>
      </c>
      <c r="BI8" s="0" t="s">
        <v>101</v>
      </c>
      <c r="BJ8" s="0" t="s">
        <v>145</v>
      </c>
      <c r="BK8" s="0" t="s">
        <v>181</v>
      </c>
      <c r="BL8" s="0" t="s">
        <v>288</v>
      </c>
    </row>
    <row r="9">
      <c r="A9" s="0" t="s">
        <v>28</v>
      </c>
      <c r="B9" s="0" t="s">
        <v>30</v>
      </c>
      <c r="C9" s="0" t="s">
        <v>182</v>
      </c>
      <c r="D9" s="0" t="s">
        <v>289</v>
      </c>
      <c r="E9" s="0" t="s">
        <v>154</v>
      </c>
      <c r="F9" s="0" t="s">
        <v>261</v>
      </c>
      <c r="G9" s="0" t="s">
        <v>262</v>
      </c>
      <c r="H9" s="0" t="b">
        <v>1</v>
      </c>
      <c r="I9" s="0" t="s">
        <v>284</v>
      </c>
      <c r="J9" s="0" t="s">
        <v>255</v>
      </c>
      <c r="K9" s="0" t="s">
        <v>256</v>
      </c>
      <c r="L9" s="0" t="b">
        <v>1</v>
      </c>
      <c r="M9" s="0" t="s">
        <v>257</v>
      </c>
      <c r="N9" s="0" t="s">
        <v>258</v>
      </c>
      <c r="O9" s="0" t="s">
        <v>264</v>
      </c>
      <c r="P9" s="0" t="s">
        <v>265</v>
      </c>
      <c r="Q9" s="2">
        <v>44594.941077372685</v>
      </c>
      <c r="R9" s="2">
        <v>44613.492424502314</v>
      </c>
      <c r="S9" s="0" t="b">
        <v>0</v>
      </c>
      <c r="T9" s="0" t="b">
        <v>0</v>
      </c>
      <c r="U9" s="0" t="s">
        <v>266</v>
      </c>
      <c r="V9" s="0" t="s">
        <v>114</v>
      </c>
      <c r="W9" s="0" t="s">
        <v>114</v>
      </c>
      <c r="X9" s="0" t="s">
        <v>114</v>
      </c>
      <c r="Y9" s="0">
        <v>256</v>
      </c>
      <c r="Z9" s="0">
        <v>256</v>
      </c>
      <c r="AA9" s="0" t="s">
        <v>114</v>
      </c>
      <c r="AB9" s="0" t="s">
        <v>114</v>
      </c>
      <c r="AC9" s="0" t="s">
        <v>290</v>
      </c>
      <c r="AD9" s="0" t="s">
        <v>268</v>
      </c>
      <c r="AE9" s="0" t="s">
        <v>269</v>
      </c>
      <c r="AF9" s="0" t="s">
        <v>270</v>
      </c>
      <c r="AG9" s="0" t="s">
        <v>271</v>
      </c>
      <c r="AH9" s="0" t="s">
        <v>272</v>
      </c>
      <c r="AI9" s="0" t="s">
        <v>114</v>
      </c>
      <c r="AJ9" s="0" t="s">
        <v>273</v>
      </c>
      <c r="AK9" s="0" t="s">
        <v>274</v>
      </c>
      <c r="AL9" s="0" t="s">
        <v>275</v>
      </c>
      <c r="AM9" s="0" t="s">
        <v>272</v>
      </c>
      <c r="AN9" s="0" t="s">
        <v>276</v>
      </c>
      <c r="AO9" s="0" t="s">
        <v>277</v>
      </c>
      <c r="AP9" s="0" t="s">
        <v>257</v>
      </c>
      <c r="AQ9" s="0" t="s">
        <v>286</v>
      </c>
      <c r="AR9" s="0" t="s">
        <v>284</v>
      </c>
      <c r="AS9" s="0" t="s">
        <v>114</v>
      </c>
      <c r="AT9" s="0" t="s">
        <v>114</v>
      </c>
      <c r="AU9" s="0" t="s">
        <v>114</v>
      </c>
      <c r="AV9" s="0" t="s">
        <v>291</v>
      </c>
      <c r="AW9" s="0" t="s">
        <v>114</v>
      </c>
      <c r="AX9" s="0">
        <v>16</v>
      </c>
      <c r="AY9" s="0">
        <v>67</v>
      </c>
      <c r="AZ9" s="0">
        <v>86</v>
      </c>
      <c r="BA9" s="0">
        <v>12</v>
      </c>
      <c r="BB9" s="0">
        <v>52</v>
      </c>
      <c r="BC9" s="0">
        <v>2786</v>
      </c>
      <c r="BD9" s="0">
        <v>3345</v>
      </c>
      <c r="BE9" s="1">
        <f>=HYPERLINK("10.175.1.14\MWEB.12\NODE\EntityDetails.10.175.1.14.MWEB.12.skmweb2x0an0.2786.xlsx", "&lt;Detail&gt;")</f>
      </c>
      <c r="BF9" s="1">
        <f>=HYPERLINK("10.175.1.14\MWEB.12\NODE\MetricGraphs.NODE.10.175.1.14.MWEB.12.xlsx", "&lt;Metrics&gt;")</f>
      </c>
      <c r="BG9" s="1">
        <f>=HYPERLINK("10.175.1.14\MWEB.12\NODE\FlameGraph.Node.10.175.1.14.MWEB.12.skmweb2x0an0.2786.svg", "&lt;FlGraph&gt;")</f>
      </c>
      <c r="BH9" s="1">
        <f>=HYPERLINK("10.175.1.14\MWEB.12\NODE\FlameChart.Node.10.175.1.14.MWEB.12.skmweb2x0an0.2786.svg", "&lt;FlChart&gt;")</f>
      </c>
      <c r="BI9" s="0" t="s">
        <v>101</v>
      </c>
      <c r="BJ9" s="0" t="s">
        <v>145</v>
      </c>
      <c r="BK9" s="0" t="s">
        <v>183</v>
      </c>
      <c r="BL9" s="0" t="s">
        <v>292</v>
      </c>
    </row>
    <row r="10">
      <c r="A10" s="0" t="s">
        <v>28</v>
      </c>
      <c r="B10" s="0" t="s">
        <v>30</v>
      </c>
      <c r="C10" s="0" t="s">
        <v>184</v>
      </c>
      <c r="D10" s="0" t="s">
        <v>293</v>
      </c>
      <c r="E10" s="0" t="s">
        <v>154</v>
      </c>
      <c r="F10" s="0" t="s">
        <v>261</v>
      </c>
      <c r="G10" s="0" t="s">
        <v>262</v>
      </c>
      <c r="H10" s="0" t="b">
        <v>1</v>
      </c>
      <c r="I10" s="0" t="s">
        <v>284</v>
      </c>
      <c r="J10" s="0" t="s">
        <v>255</v>
      </c>
      <c r="K10" s="0" t="s">
        <v>256</v>
      </c>
      <c r="L10" s="0" t="b">
        <v>1</v>
      </c>
      <c r="M10" s="0" t="s">
        <v>257</v>
      </c>
      <c r="N10" s="0" t="s">
        <v>258</v>
      </c>
      <c r="O10" s="0" t="s">
        <v>264</v>
      </c>
      <c r="P10" s="0" t="s">
        <v>265</v>
      </c>
      <c r="Q10" s="2">
        <v>44594.94062341435</v>
      </c>
      <c r="R10" s="2">
        <v>44613.491990358794</v>
      </c>
      <c r="S10" s="0" t="b">
        <v>0</v>
      </c>
      <c r="T10" s="0" t="b">
        <v>0</v>
      </c>
      <c r="U10" s="0" t="s">
        <v>266</v>
      </c>
      <c r="V10" s="0" t="s">
        <v>114</v>
      </c>
      <c r="W10" s="0" t="s">
        <v>114</v>
      </c>
      <c r="X10" s="0" t="s">
        <v>114</v>
      </c>
      <c r="Y10" s="0">
        <v>256</v>
      </c>
      <c r="Z10" s="0">
        <v>256</v>
      </c>
      <c r="AA10" s="0" t="s">
        <v>114</v>
      </c>
      <c r="AB10" s="0" t="s">
        <v>114</v>
      </c>
      <c r="AC10" s="0" t="s">
        <v>294</v>
      </c>
      <c r="AD10" s="0" t="s">
        <v>268</v>
      </c>
      <c r="AE10" s="0" t="s">
        <v>269</v>
      </c>
      <c r="AF10" s="0" t="s">
        <v>270</v>
      </c>
      <c r="AG10" s="0" t="s">
        <v>271</v>
      </c>
      <c r="AH10" s="0" t="s">
        <v>272</v>
      </c>
      <c r="AI10" s="0" t="s">
        <v>114</v>
      </c>
      <c r="AJ10" s="0" t="s">
        <v>273</v>
      </c>
      <c r="AK10" s="0" t="s">
        <v>274</v>
      </c>
      <c r="AL10" s="0" t="s">
        <v>275</v>
      </c>
      <c r="AM10" s="0" t="s">
        <v>272</v>
      </c>
      <c r="AN10" s="0" t="s">
        <v>276</v>
      </c>
      <c r="AO10" s="0" t="s">
        <v>277</v>
      </c>
      <c r="AP10" s="0" t="s">
        <v>257</v>
      </c>
      <c r="AQ10" s="0" t="s">
        <v>286</v>
      </c>
      <c r="AR10" s="0" t="s">
        <v>284</v>
      </c>
      <c r="AS10" s="0" t="s">
        <v>114</v>
      </c>
      <c r="AT10" s="0" t="s">
        <v>114</v>
      </c>
      <c r="AU10" s="0" t="s">
        <v>114</v>
      </c>
      <c r="AV10" s="0" t="s">
        <v>295</v>
      </c>
      <c r="AW10" s="0" t="s">
        <v>114</v>
      </c>
      <c r="AX10" s="0">
        <v>16</v>
      </c>
      <c r="AY10" s="0">
        <v>67</v>
      </c>
      <c r="AZ10" s="0">
        <v>86</v>
      </c>
      <c r="BA10" s="0">
        <v>12</v>
      </c>
      <c r="BB10" s="0">
        <v>51</v>
      </c>
      <c r="BC10" s="0">
        <v>2785</v>
      </c>
      <c r="BD10" s="0">
        <v>3345</v>
      </c>
      <c r="BE10" s="1">
        <f>=HYPERLINK("10.175.1.14\MWEB.12\NODE\EntityDetails.10.175.1.14.MWEB.12.skmweb2x0an0.2785.xlsx", "&lt;Detail&gt;")</f>
      </c>
      <c r="BF10" s="1">
        <f>=HYPERLINK("10.175.1.14\MWEB.12\NODE\MetricGraphs.NODE.10.175.1.14.MWEB.12.xlsx", "&lt;Metrics&gt;")</f>
      </c>
      <c r="BG10" s="1">
        <f>=HYPERLINK("10.175.1.14\MWEB.12\NODE\FlameGraph.Node.10.175.1.14.MWEB.12.skmweb2x0an0.2785.svg", "&lt;FlGraph&gt;")</f>
      </c>
      <c r="BH10" s="1">
        <f>=HYPERLINK("10.175.1.14\MWEB.12\NODE\FlameChart.Node.10.175.1.14.MWEB.12.skmweb2x0an0.2785.svg", "&lt;FlChart&gt;")</f>
      </c>
      <c r="BI10" s="0" t="s">
        <v>101</v>
      </c>
      <c r="BJ10" s="0" t="s">
        <v>145</v>
      </c>
      <c r="BK10" s="0" t="s">
        <v>185</v>
      </c>
      <c r="BL10" s="0" t="s">
        <v>296</v>
      </c>
    </row>
    <row r="11">
      <c r="A11" s="0" t="s">
        <v>28</v>
      </c>
      <c r="B11" s="0" t="s">
        <v>30</v>
      </c>
      <c r="C11" s="0" t="s">
        <v>186</v>
      </c>
      <c r="D11" s="0" t="s">
        <v>297</v>
      </c>
      <c r="E11" s="0" t="s">
        <v>154</v>
      </c>
      <c r="F11" s="0" t="s">
        <v>261</v>
      </c>
      <c r="G11" s="0" t="s">
        <v>262</v>
      </c>
      <c r="H11" s="0" t="b">
        <v>1</v>
      </c>
      <c r="I11" s="0" t="s">
        <v>298</v>
      </c>
      <c r="J11" s="0" t="s">
        <v>255</v>
      </c>
      <c r="K11" s="0" t="s">
        <v>256</v>
      </c>
      <c r="L11" s="0" t="b">
        <v>1</v>
      </c>
      <c r="M11" s="0" t="s">
        <v>257</v>
      </c>
      <c r="N11" s="0" t="s">
        <v>258</v>
      </c>
      <c r="O11" s="0" t="s">
        <v>264</v>
      </c>
      <c r="P11" s="0" t="s">
        <v>265</v>
      </c>
      <c r="Q11" s="2">
        <v>44593.573865833336</v>
      </c>
      <c r="R11" s="2">
        <v>44594.64433393518</v>
      </c>
      <c r="S11" s="0" t="b">
        <v>0</v>
      </c>
      <c r="T11" s="0" t="b">
        <v>0</v>
      </c>
      <c r="U11" s="0" t="s">
        <v>266</v>
      </c>
      <c r="V11" s="0" t="s">
        <v>114</v>
      </c>
      <c r="W11" s="0" t="s">
        <v>114</v>
      </c>
      <c r="X11" s="0" t="s">
        <v>114</v>
      </c>
      <c r="Y11" s="0">
        <v>256</v>
      </c>
      <c r="Z11" s="0">
        <v>256</v>
      </c>
      <c r="AA11" s="0" t="s">
        <v>114</v>
      </c>
      <c r="AB11" s="0" t="s">
        <v>114</v>
      </c>
      <c r="AC11" s="0" t="s">
        <v>299</v>
      </c>
      <c r="AD11" s="0" t="s">
        <v>268</v>
      </c>
      <c r="AE11" s="0" t="s">
        <v>269</v>
      </c>
      <c r="AF11" s="0" t="s">
        <v>270</v>
      </c>
      <c r="AG11" s="0" t="s">
        <v>271</v>
      </c>
      <c r="AH11" s="0" t="s">
        <v>272</v>
      </c>
      <c r="AI11" s="0" t="s">
        <v>114</v>
      </c>
      <c r="AJ11" s="0" t="s">
        <v>273</v>
      </c>
      <c r="AK11" s="0" t="s">
        <v>274</v>
      </c>
      <c r="AL11" s="0" t="s">
        <v>275</v>
      </c>
      <c r="AM11" s="0" t="s">
        <v>272</v>
      </c>
      <c r="AN11" s="0" t="s">
        <v>276</v>
      </c>
      <c r="AO11" s="0" t="s">
        <v>277</v>
      </c>
      <c r="AP11" s="0" t="s">
        <v>257</v>
      </c>
      <c r="AQ11" s="0" t="s">
        <v>286</v>
      </c>
      <c r="AR11" s="0" t="s">
        <v>298</v>
      </c>
      <c r="AS11" s="0" t="s">
        <v>114</v>
      </c>
      <c r="AT11" s="0" t="s">
        <v>114</v>
      </c>
      <c r="AU11" s="0" t="s">
        <v>114</v>
      </c>
      <c r="AV11" s="0" t="s">
        <v>300</v>
      </c>
      <c r="AW11" s="0" t="s">
        <v>114</v>
      </c>
      <c r="AX11" s="0">
        <v>29</v>
      </c>
      <c r="AY11" s="0">
        <v>74</v>
      </c>
      <c r="AZ11" s="0">
        <v>90</v>
      </c>
      <c r="BA11" s="0">
        <v>12</v>
      </c>
      <c r="BB11" s="0">
        <v>54</v>
      </c>
      <c r="BC11" s="0">
        <v>2781</v>
      </c>
      <c r="BD11" s="0">
        <v>3174</v>
      </c>
      <c r="BE11" s="1">
        <f>=HYPERLINK("10.175.1.14\MWEB.12\NODE\EntityDetails.10.175.1.14.MWEB.12.skmweb2x0at0.2781.xlsx", "&lt;Detail&gt;")</f>
      </c>
      <c r="BF11" s="1">
        <f>=HYPERLINK("10.175.1.14\MWEB.12\NODE\MetricGraphs.NODE.10.175.1.14.MWEB.12.xlsx", "&lt;Metrics&gt;")</f>
      </c>
      <c r="BG11" s="1">
        <f>=HYPERLINK("10.175.1.14\MWEB.12\NODE\FlameGraph.Node.10.175.1.14.MWEB.12.skmweb2x0at0.2781.svg", "&lt;FlGraph&gt;")</f>
      </c>
      <c r="BH11" s="1">
        <f>=HYPERLINK("10.175.1.14\MWEB.12\NODE\FlameChart.Node.10.175.1.14.MWEB.12.skmweb2x0at0.2781.svg", "&lt;FlChart&gt;")</f>
      </c>
      <c r="BI11" s="0" t="s">
        <v>101</v>
      </c>
      <c r="BJ11" s="0" t="s">
        <v>145</v>
      </c>
      <c r="BK11" s="0" t="s">
        <v>187</v>
      </c>
      <c r="BL11" s="0" t="s">
        <v>301</v>
      </c>
    </row>
    <row r="12">
      <c r="A12" s="0" t="s">
        <v>28</v>
      </c>
      <c r="B12" s="0" t="s">
        <v>30</v>
      </c>
      <c r="C12" s="0" t="s">
        <v>188</v>
      </c>
      <c r="D12" s="0" t="s">
        <v>302</v>
      </c>
      <c r="E12" s="0" t="s">
        <v>154</v>
      </c>
      <c r="F12" s="0" t="s">
        <v>261</v>
      </c>
      <c r="G12" s="0" t="s">
        <v>262</v>
      </c>
      <c r="H12" s="0" t="b">
        <v>1</v>
      </c>
      <c r="I12" s="0" t="s">
        <v>298</v>
      </c>
      <c r="J12" s="0" t="s">
        <v>255</v>
      </c>
      <c r="K12" s="0" t="s">
        <v>256</v>
      </c>
      <c r="L12" s="0" t="b">
        <v>1</v>
      </c>
      <c r="M12" s="0" t="s">
        <v>257</v>
      </c>
      <c r="N12" s="0" t="s">
        <v>258</v>
      </c>
      <c r="O12" s="0" t="s">
        <v>264</v>
      </c>
      <c r="P12" s="0" t="s">
        <v>265</v>
      </c>
      <c r="Q12" s="2">
        <v>44593.57205642361</v>
      </c>
      <c r="R12" s="2">
        <v>44594.62233987269</v>
      </c>
      <c r="S12" s="0" t="b">
        <v>0</v>
      </c>
      <c r="T12" s="0" t="b">
        <v>0</v>
      </c>
      <c r="U12" s="0" t="s">
        <v>266</v>
      </c>
      <c r="V12" s="0" t="s">
        <v>114</v>
      </c>
      <c r="W12" s="0" t="s">
        <v>114</v>
      </c>
      <c r="X12" s="0" t="s">
        <v>114</v>
      </c>
      <c r="Y12" s="0">
        <v>512</v>
      </c>
      <c r="Z12" s="0">
        <v>512</v>
      </c>
      <c r="AA12" s="0" t="s">
        <v>114</v>
      </c>
      <c r="AB12" s="0" t="s">
        <v>114</v>
      </c>
      <c r="AC12" s="0" t="s">
        <v>303</v>
      </c>
      <c r="AD12" s="0" t="s">
        <v>268</v>
      </c>
      <c r="AE12" s="0" t="s">
        <v>269</v>
      </c>
      <c r="AF12" s="0" t="s">
        <v>270</v>
      </c>
      <c r="AG12" s="0" t="s">
        <v>271</v>
      </c>
      <c r="AH12" s="0" t="s">
        <v>272</v>
      </c>
      <c r="AI12" s="0" t="s">
        <v>114</v>
      </c>
      <c r="AJ12" s="0" t="s">
        <v>273</v>
      </c>
      <c r="AK12" s="0" t="s">
        <v>274</v>
      </c>
      <c r="AL12" s="0" t="s">
        <v>275</v>
      </c>
      <c r="AM12" s="0" t="s">
        <v>272</v>
      </c>
      <c r="AN12" s="0" t="s">
        <v>276</v>
      </c>
      <c r="AO12" s="0" t="s">
        <v>277</v>
      </c>
      <c r="AP12" s="0" t="s">
        <v>257</v>
      </c>
      <c r="AQ12" s="0" t="s">
        <v>286</v>
      </c>
      <c r="AR12" s="0" t="s">
        <v>298</v>
      </c>
      <c r="AS12" s="0" t="s">
        <v>114</v>
      </c>
      <c r="AT12" s="0" t="s">
        <v>114</v>
      </c>
      <c r="AU12" s="0" t="s">
        <v>114</v>
      </c>
      <c r="AV12" s="0" t="s">
        <v>300</v>
      </c>
      <c r="AW12" s="0" t="s">
        <v>114</v>
      </c>
      <c r="AX12" s="0">
        <v>16</v>
      </c>
      <c r="AY12" s="0">
        <v>67</v>
      </c>
      <c r="AZ12" s="0">
        <v>87</v>
      </c>
      <c r="BA12" s="0">
        <v>12</v>
      </c>
      <c r="BB12" s="0">
        <v>53</v>
      </c>
      <c r="BC12" s="0">
        <v>2780</v>
      </c>
      <c r="BD12" s="0">
        <v>3174</v>
      </c>
      <c r="BE12" s="1">
        <f>=HYPERLINK("10.175.1.14\MWEB.12\NODE\EntityDetails.10.175.1.14.MWEB.12.skmweb2x0at0.2780.xlsx", "&lt;Detail&gt;")</f>
      </c>
      <c r="BF12" s="1">
        <f>=HYPERLINK("10.175.1.14\MWEB.12\NODE\MetricGraphs.NODE.10.175.1.14.MWEB.12.xlsx", "&lt;Metrics&gt;")</f>
      </c>
      <c r="BG12" s="1">
        <f>=HYPERLINK("10.175.1.14\MWEB.12\NODE\FlameGraph.Node.10.175.1.14.MWEB.12.skmweb2x0at0.2780.svg", "&lt;FlGraph&gt;")</f>
      </c>
      <c r="BH12" s="1">
        <f>=HYPERLINK("10.175.1.14\MWEB.12\NODE\FlameChart.Node.10.175.1.14.MWEB.12.skmweb2x0at0.2780.svg", "&lt;FlChart&gt;")</f>
      </c>
      <c r="BI12" s="0" t="s">
        <v>101</v>
      </c>
      <c r="BJ12" s="0" t="s">
        <v>145</v>
      </c>
      <c r="BK12" s="0" t="s">
        <v>189</v>
      </c>
      <c r="BL12" s="0" t="s">
        <v>304</v>
      </c>
    </row>
    <row r="13">
      <c r="A13" s="0" t="s">
        <v>28</v>
      </c>
      <c r="B13" s="0" t="s">
        <v>30</v>
      </c>
      <c r="C13" s="0" t="s">
        <v>190</v>
      </c>
      <c r="D13" s="0" t="s">
        <v>305</v>
      </c>
      <c r="E13" s="0" t="s">
        <v>154</v>
      </c>
      <c r="F13" s="0" t="s">
        <v>261</v>
      </c>
      <c r="G13" s="0" t="s">
        <v>262</v>
      </c>
      <c r="H13" s="0" t="b">
        <v>1</v>
      </c>
      <c r="I13" s="0" t="s">
        <v>298</v>
      </c>
      <c r="J13" s="0" t="s">
        <v>255</v>
      </c>
      <c r="K13" s="0" t="s">
        <v>256</v>
      </c>
      <c r="L13" s="0" t="b">
        <v>1</v>
      </c>
      <c r="M13" s="0" t="s">
        <v>257</v>
      </c>
      <c r="N13" s="0" t="s">
        <v>258</v>
      </c>
      <c r="O13" s="0" t="s">
        <v>264</v>
      </c>
      <c r="P13" s="0" t="s">
        <v>265</v>
      </c>
      <c r="Q13" s="2">
        <v>44593.575607673614</v>
      </c>
      <c r="R13" s="2">
        <v>44594.35273564815</v>
      </c>
      <c r="S13" s="0" t="b">
        <v>0</v>
      </c>
      <c r="T13" s="0" t="b">
        <v>0</v>
      </c>
      <c r="U13" s="0" t="s">
        <v>266</v>
      </c>
      <c r="V13" s="0" t="s">
        <v>114</v>
      </c>
      <c r="W13" s="0" t="s">
        <v>114</v>
      </c>
      <c r="X13" s="0" t="s">
        <v>114</v>
      </c>
      <c r="Y13" s="0">
        <v>256</v>
      </c>
      <c r="Z13" s="0">
        <v>256</v>
      </c>
      <c r="AA13" s="0" t="s">
        <v>114</v>
      </c>
      <c r="AB13" s="0" t="s">
        <v>114</v>
      </c>
      <c r="AC13" s="0" t="s">
        <v>299</v>
      </c>
      <c r="AD13" s="0" t="s">
        <v>268</v>
      </c>
      <c r="AE13" s="0" t="s">
        <v>269</v>
      </c>
      <c r="AF13" s="0" t="s">
        <v>270</v>
      </c>
      <c r="AG13" s="0" t="s">
        <v>271</v>
      </c>
      <c r="AH13" s="0" t="s">
        <v>272</v>
      </c>
      <c r="AI13" s="0" t="s">
        <v>114</v>
      </c>
      <c r="AJ13" s="0" t="s">
        <v>273</v>
      </c>
      <c r="AK13" s="0" t="s">
        <v>274</v>
      </c>
      <c r="AL13" s="0" t="s">
        <v>275</v>
      </c>
      <c r="AM13" s="0" t="s">
        <v>272</v>
      </c>
      <c r="AN13" s="0" t="s">
        <v>276</v>
      </c>
      <c r="AO13" s="0" t="s">
        <v>277</v>
      </c>
      <c r="AP13" s="0" t="s">
        <v>257</v>
      </c>
      <c r="AQ13" s="0" t="s">
        <v>286</v>
      </c>
      <c r="AR13" s="0" t="s">
        <v>298</v>
      </c>
      <c r="AS13" s="0" t="s">
        <v>114</v>
      </c>
      <c r="AT13" s="0" t="s">
        <v>114</v>
      </c>
      <c r="AU13" s="0" t="s">
        <v>114</v>
      </c>
      <c r="AV13" s="0" t="s">
        <v>300</v>
      </c>
      <c r="AW13" s="0" t="s">
        <v>114</v>
      </c>
      <c r="AX13" s="0">
        <v>29</v>
      </c>
      <c r="AY13" s="0">
        <v>74</v>
      </c>
      <c r="AZ13" s="0">
        <v>89</v>
      </c>
      <c r="BA13" s="0">
        <v>12</v>
      </c>
      <c r="BB13" s="0">
        <v>56</v>
      </c>
      <c r="BC13" s="0">
        <v>2782</v>
      </c>
      <c r="BD13" s="0">
        <v>3174</v>
      </c>
      <c r="BE13" s="1">
        <f>=HYPERLINK("10.175.1.14\MWEB.12\NODE\EntityDetails.10.175.1.14.MWEB.12.skmweb2x0at0.2782.xlsx", "&lt;Detail&gt;")</f>
      </c>
      <c r="BF13" s="1">
        <f>=HYPERLINK("10.175.1.14\MWEB.12\NODE\MetricGraphs.NODE.10.175.1.14.MWEB.12.xlsx", "&lt;Metrics&gt;")</f>
      </c>
      <c r="BG13" s="1">
        <f>=HYPERLINK("10.175.1.14\MWEB.12\NODE\FlameGraph.Node.10.175.1.14.MWEB.12.skmweb2x0at0.2782.svg", "&lt;FlGraph&gt;")</f>
      </c>
      <c r="BH13" s="1">
        <f>=HYPERLINK("10.175.1.14\MWEB.12\NODE\FlameChart.Node.10.175.1.14.MWEB.12.skmweb2x0at0.2782.svg", "&lt;FlChart&gt;")</f>
      </c>
      <c r="BI13" s="0" t="s">
        <v>101</v>
      </c>
      <c r="BJ13" s="0" t="s">
        <v>145</v>
      </c>
      <c r="BK13" s="0" t="s">
        <v>191</v>
      </c>
      <c r="BL13" s="0" t="s">
        <v>306</v>
      </c>
    </row>
    <row r="14">
      <c r="A14" s="0" t="s">
        <v>28</v>
      </c>
      <c r="B14" s="0" t="s">
        <v>30</v>
      </c>
      <c r="C14" s="0" t="s">
        <v>194</v>
      </c>
      <c r="D14" s="0" t="s">
        <v>307</v>
      </c>
      <c r="E14" s="0" t="s">
        <v>154</v>
      </c>
      <c r="F14" s="0" t="s">
        <v>261</v>
      </c>
      <c r="G14" s="0" t="s">
        <v>262</v>
      </c>
      <c r="H14" s="0" t="b">
        <v>1</v>
      </c>
      <c r="I14" s="0" t="s">
        <v>307</v>
      </c>
      <c r="J14" s="0" t="s">
        <v>255</v>
      </c>
      <c r="K14" s="0" t="s">
        <v>256</v>
      </c>
      <c r="L14" s="0" t="b">
        <v>1</v>
      </c>
      <c r="M14" s="0" t="s">
        <v>257</v>
      </c>
      <c r="N14" s="0" t="s">
        <v>258</v>
      </c>
      <c r="O14" s="0" t="s">
        <v>264</v>
      </c>
      <c r="P14" s="0" t="s">
        <v>265</v>
      </c>
      <c r="Q14" s="2">
        <v>44263.61880644676</v>
      </c>
      <c r="R14" s="2">
        <v>44610.34881232639</v>
      </c>
      <c r="S14" s="0" t="b">
        <v>0</v>
      </c>
      <c r="T14" s="0" t="b">
        <v>0</v>
      </c>
      <c r="U14" s="0" t="s">
        <v>266</v>
      </c>
      <c r="V14" s="0" t="s">
        <v>114</v>
      </c>
      <c r="W14" s="0" t="s">
        <v>114</v>
      </c>
      <c r="X14" s="0" t="s">
        <v>114</v>
      </c>
      <c r="Y14" s="0">
        <v>1024</v>
      </c>
      <c r="Z14" s="0">
        <v>1024</v>
      </c>
      <c r="AA14" s="0">
        <v>512</v>
      </c>
      <c r="AB14" s="0">
        <v>512</v>
      </c>
      <c r="AC14" s="0" t="s">
        <v>308</v>
      </c>
      <c r="AD14" s="0" t="s">
        <v>268</v>
      </c>
      <c r="AE14" s="0" t="s">
        <v>269</v>
      </c>
      <c r="AF14" s="0" t="s">
        <v>270</v>
      </c>
      <c r="AG14" s="0" t="s">
        <v>271</v>
      </c>
      <c r="AH14" s="0" t="s">
        <v>272</v>
      </c>
      <c r="AI14" s="0" t="s">
        <v>114</v>
      </c>
      <c r="AJ14" s="0" t="s">
        <v>273</v>
      </c>
      <c r="AK14" s="0" t="s">
        <v>274</v>
      </c>
      <c r="AL14" s="0" t="s">
        <v>275</v>
      </c>
      <c r="AM14" s="0" t="s">
        <v>272</v>
      </c>
      <c r="AN14" s="0" t="s">
        <v>276</v>
      </c>
      <c r="AO14" s="0" t="s">
        <v>277</v>
      </c>
      <c r="AP14" s="0" t="s">
        <v>257</v>
      </c>
      <c r="AQ14" s="0" t="s">
        <v>286</v>
      </c>
      <c r="AR14" s="0" t="s">
        <v>307</v>
      </c>
      <c r="AS14" s="0" t="s">
        <v>114</v>
      </c>
      <c r="AT14" s="0" t="s">
        <v>114</v>
      </c>
      <c r="AU14" s="0" t="s">
        <v>114</v>
      </c>
      <c r="AV14" s="0" t="s">
        <v>309</v>
      </c>
      <c r="AW14" s="0" t="s">
        <v>114</v>
      </c>
      <c r="AX14" s="0">
        <v>27</v>
      </c>
      <c r="AY14" s="0">
        <v>74</v>
      </c>
      <c r="AZ14" s="0">
        <v>31</v>
      </c>
      <c r="BA14" s="0">
        <v>12</v>
      </c>
      <c r="BB14" s="0">
        <v>55</v>
      </c>
      <c r="BC14" s="0">
        <v>2103</v>
      </c>
      <c r="BD14" s="0">
        <v>2972</v>
      </c>
      <c r="BE14" s="1">
        <f>=HYPERLINK("10.175.1.14\MWEB.12\NODE\EntityDetails.10.175.1.14.MWEB.12.skmweb2x0fp0.2103.xlsx", "&lt;Detail&gt;")</f>
      </c>
      <c r="BF14" s="1">
        <f>=HYPERLINK("10.175.1.14\MWEB.12\NODE\MetricGraphs.NODE.10.175.1.14.MWEB.12.xlsx", "&lt;Metrics&gt;")</f>
      </c>
      <c r="BG14" s="1">
        <f>=HYPERLINK("10.175.1.14\MWEB.12\NODE\FlameGraph.Node.10.175.1.14.MWEB.12.skmweb2x0fp0.2103.svg", "&lt;FlGraph&gt;")</f>
      </c>
      <c r="BH14" s="1">
        <f>=HYPERLINK("10.175.1.14\MWEB.12\NODE\FlameChart.Node.10.175.1.14.MWEB.12.skmweb2x0fp0.2103.svg", "&lt;FlChart&gt;")</f>
      </c>
      <c r="BI14" s="0" t="s">
        <v>101</v>
      </c>
      <c r="BJ14" s="0" t="s">
        <v>145</v>
      </c>
      <c r="BK14" s="0" t="s">
        <v>195</v>
      </c>
      <c r="BL14" s="0" t="s">
        <v>310</v>
      </c>
    </row>
    <row r="15">
      <c r="A15" s="0" t="s">
        <v>28</v>
      </c>
      <c r="B15" s="0" t="s">
        <v>30</v>
      </c>
      <c r="C15" s="0" t="s">
        <v>196</v>
      </c>
      <c r="D15" s="0" t="s">
        <v>311</v>
      </c>
      <c r="E15" s="0" t="s">
        <v>154</v>
      </c>
      <c r="F15" s="0" t="s">
        <v>261</v>
      </c>
      <c r="G15" s="0" t="s">
        <v>262</v>
      </c>
      <c r="H15" s="0" t="b">
        <v>1</v>
      </c>
      <c r="I15" s="0" t="s">
        <v>312</v>
      </c>
      <c r="J15" s="0" t="s">
        <v>255</v>
      </c>
      <c r="K15" s="0" t="s">
        <v>256</v>
      </c>
      <c r="L15" s="0" t="b">
        <v>1</v>
      </c>
      <c r="M15" s="0" t="s">
        <v>257</v>
      </c>
      <c r="N15" s="0" t="s">
        <v>258</v>
      </c>
      <c r="O15" s="0" t="s">
        <v>264</v>
      </c>
      <c r="P15" s="0" t="s">
        <v>265</v>
      </c>
      <c r="Q15" s="2">
        <v>44257.75663846065</v>
      </c>
      <c r="R15" s="2">
        <v>44610.938469085646</v>
      </c>
      <c r="S15" s="0" t="b">
        <v>0</v>
      </c>
      <c r="T15" s="0" t="b">
        <v>0</v>
      </c>
      <c r="U15" s="0" t="s">
        <v>313</v>
      </c>
      <c r="V15" s="0" t="s">
        <v>114</v>
      </c>
      <c r="W15" s="0" t="s">
        <v>114</v>
      </c>
      <c r="X15" s="0" t="s">
        <v>114</v>
      </c>
      <c r="Y15" s="0" t="s">
        <v>114</v>
      </c>
      <c r="Z15" s="0" t="s">
        <v>114</v>
      </c>
      <c r="AA15" s="0" t="s">
        <v>114</v>
      </c>
      <c r="AB15" s="0" t="s">
        <v>114</v>
      </c>
      <c r="AC15" s="0" t="s">
        <v>314</v>
      </c>
      <c r="AD15" s="0" t="s">
        <v>268</v>
      </c>
      <c r="AE15" s="0" t="s">
        <v>269</v>
      </c>
      <c r="AF15" s="0" t="s">
        <v>270</v>
      </c>
      <c r="AG15" s="0" t="s">
        <v>271</v>
      </c>
      <c r="AH15" s="0" t="s">
        <v>272</v>
      </c>
      <c r="AI15" s="0" t="s">
        <v>114</v>
      </c>
      <c r="AJ15" s="0" t="s">
        <v>273</v>
      </c>
      <c r="AK15" s="0" t="s">
        <v>274</v>
      </c>
      <c r="AL15" s="0" t="s">
        <v>275</v>
      </c>
      <c r="AM15" s="0" t="s">
        <v>272</v>
      </c>
      <c r="AN15" s="0" t="s">
        <v>276</v>
      </c>
      <c r="AO15" s="0" t="s">
        <v>277</v>
      </c>
      <c r="AP15" s="0" t="s">
        <v>257</v>
      </c>
      <c r="AQ15" s="0" t="s">
        <v>286</v>
      </c>
      <c r="AR15" s="0" t="s">
        <v>114</v>
      </c>
      <c r="AS15" s="0" t="s">
        <v>114</v>
      </c>
      <c r="AT15" s="0" t="s">
        <v>114</v>
      </c>
      <c r="AU15" s="0" t="s">
        <v>114</v>
      </c>
      <c r="AV15" s="0" t="s">
        <v>315</v>
      </c>
      <c r="AW15" s="0" t="s">
        <v>114</v>
      </c>
      <c r="AX15" s="0">
        <v>13</v>
      </c>
      <c r="AY15" s="0">
        <v>65</v>
      </c>
      <c r="AZ15" s="0">
        <v>12</v>
      </c>
      <c r="BA15" s="0">
        <v>12</v>
      </c>
      <c r="BB15" s="0">
        <v>47</v>
      </c>
      <c r="BC15" s="0">
        <v>2079</v>
      </c>
      <c r="BD15" s="0">
        <v>1398</v>
      </c>
      <c r="BE15" s="1">
        <f>=HYPERLINK("10.175.1.14\MWEB.12\NODE\EntityDetails.10.175.1.14.MWEB.12.skmweb2x0od0.2079.xlsx", "&lt;Detail&gt;")</f>
      </c>
      <c r="BF15" s="1">
        <f>=HYPERLINK("10.175.1.14\MWEB.12\NODE\MetricGraphs.NODE.10.175.1.14.MWEB.12.xlsx", "&lt;Metrics&gt;")</f>
      </c>
      <c r="BG15" s="1">
        <f>=HYPERLINK("10.175.1.14\MWEB.12\NODE\FlameGraph.Node.10.175.1.14.MWEB.12.skmweb2x0od0.2079.svg", "&lt;FlGraph&gt;")</f>
      </c>
      <c r="BH15" s="1">
        <f>=HYPERLINK("10.175.1.14\MWEB.12\NODE\FlameChart.Node.10.175.1.14.MWEB.12.skmweb2x0od0.2079.svg", "&lt;FlChart&gt;")</f>
      </c>
      <c r="BI15" s="0" t="s">
        <v>101</v>
      </c>
      <c r="BJ15" s="0" t="s">
        <v>145</v>
      </c>
      <c r="BK15" s="0" t="s">
        <v>197</v>
      </c>
      <c r="BL15" s="0" t="s">
        <v>316</v>
      </c>
    </row>
    <row r="16">
      <c r="A16" s="0" t="s">
        <v>28</v>
      </c>
      <c r="B16" s="0" t="s">
        <v>30</v>
      </c>
      <c r="C16" s="0" t="s">
        <v>196</v>
      </c>
      <c r="D16" s="0" t="s">
        <v>317</v>
      </c>
      <c r="E16" s="0" t="s">
        <v>154</v>
      </c>
      <c r="F16" s="0" t="s">
        <v>261</v>
      </c>
      <c r="G16" s="0" t="s">
        <v>262</v>
      </c>
      <c r="H16" s="0" t="b">
        <v>1</v>
      </c>
      <c r="I16" s="0" t="s">
        <v>312</v>
      </c>
      <c r="J16" s="0" t="s">
        <v>255</v>
      </c>
      <c r="K16" s="0" t="s">
        <v>256</v>
      </c>
      <c r="L16" s="0" t="b">
        <v>1</v>
      </c>
      <c r="M16" s="0" t="s">
        <v>257</v>
      </c>
      <c r="N16" s="0" t="s">
        <v>258</v>
      </c>
      <c r="O16" s="0" t="s">
        <v>264</v>
      </c>
      <c r="P16" s="0" t="s">
        <v>265</v>
      </c>
      <c r="Q16" s="2">
        <v>44257.756826400466</v>
      </c>
      <c r="R16" s="2">
        <v>44610.93861275463</v>
      </c>
      <c r="S16" s="0" t="b">
        <v>0</v>
      </c>
      <c r="T16" s="0" t="b">
        <v>0</v>
      </c>
      <c r="U16" s="0" t="s">
        <v>313</v>
      </c>
      <c r="V16" s="0" t="s">
        <v>114</v>
      </c>
      <c r="W16" s="0" t="s">
        <v>114</v>
      </c>
      <c r="X16" s="0" t="s">
        <v>114</v>
      </c>
      <c r="Y16" s="0" t="s">
        <v>114</v>
      </c>
      <c r="Z16" s="0" t="s">
        <v>114</v>
      </c>
      <c r="AA16" s="0" t="s">
        <v>114</v>
      </c>
      <c r="AB16" s="0" t="s">
        <v>114</v>
      </c>
      <c r="AC16" s="0" t="s">
        <v>318</v>
      </c>
      <c r="AD16" s="0" t="s">
        <v>268</v>
      </c>
      <c r="AE16" s="0" t="s">
        <v>269</v>
      </c>
      <c r="AF16" s="0" t="s">
        <v>270</v>
      </c>
      <c r="AG16" s="0" t="s">
        <v>271</v>
      </c>
      <c r="AH16" s="0" t="s">
        <v>272</v>
      </c>
      <c r="AI16" s="0" t="s">
        <v>114</v>
      </c>
      <c r="AJ16" s="0" t="s">
        <v>273</v>
      </c>
      <c r="AK16" s="0" t="s">
        <v>274</v>
      </c>
      <c r="AL16" s="0" t="s">
        <v>275</v>
      </c>
      <c r="AM16" s="0" t="s">
        <v>272</v>
      </c>
      <c r="AN16" s="0" t="s">
        <v>276</v>
      </c>
      <c r="AO16" s="0" t="s">
        <v>277</v>
      </c>
      <c r="AP16" s="0" t="s">
        <v>257</v>
      </c>
      <c r="AQ16" s="0" t="s">
        <v>286</v>
      </c>
      <c r="AR16" s="0" t="s">
        <v>114</v>
      </c>
      <c r="AS16" s="0" t="s">
        <v>114</v>
      </c>
      <c r="AT16" s="0" t="s">
        <v>114</v>
      </c>
      <c r="AU16" s="0" t="s">
        <v>114</v>
      </c>
      <c r="AV16" s="0" t="s">
        <v>315</v>
      </c>
      <c r="AW16" s="0" t="s">
        <v>114</v>
      </c>
      <c r="AX16" s="0">
        <v>13</v>
      </c>
      <c r="AY16" s="0">
        <v>65</v>
      </c>
      <c r="AZ16" s="0">
        <v>12</v>
      </c>
      <c r="BA16" s="0">
        <v>12</v>
      </c>
      <c r="BB16" s="0">
        <v>47</v>
      </c>
      <c r="BC16" s="0">
        <v>2080</v>
      </c>
      <c r="BD16" s="0">
        <v>1398</v>
      </c>
      <c r="BE16" s="1">
        <f>=HYPERLINK("10.175.1.14\MWEB.12\NODE\EntityDetails.10.175.1.14.MWEB.12.skmweb2x0od0.2080.xlsx", "&lt;Detail&gt;")</f>
      </c>
      <c r="BF16" s="1">
        <f>=HYPERLINK("10.175.1.14\MWEB.12\NODE\MetricGraphs.NODE.10.175.1.14.MWEB.12.xlsx", "&lt;Metrics&gt;")</f>
      </c>
      <c r="BG16" s="1">
        <f>=HYPERLINK("10.175.1.14\MWEB.12\NODE\FlameGraph.Node.10.175.1.14.MWEB.12.skmweb2x0od0.2080.svg", "&lt;FlGraph&gt;")</f>
      </c>
      <c r="BH16" s="1">
        <f>=HYPERLINK("10.175.1.14\MWEB.12\NODE\FlameChart.Node.10.175.1.14.MWEB.12.skmweb2x0od0.2080.svg", "&lt;FlChart&gt;")</f>
      </c>
      <c r="BI16" s="0" t="s">
        <v>101</v>
      </c>
      <c r="BJ16" s="0" t="s">
        <v>145</v>
      </c>
      <c r="BK16" s="0" t="s">
        <v>197</v>
      </c>
      <c r="BL16" s="0" t="s">
        <v>319</v>
      </c>
    </row>
    <row r="17">
      <c r="A17" s="0" t="s">
        <v>28</v>
      </c>
      <c r="B17" s="0" t="s">
        <v>30</v>
      </c>
      <c r="C17" s="0" t="s">
        <v>196</v>
      </c>
      <c r="D17" s="0" t="s">
        <v>320</v>
      </c>
      <c r="E17" s="0" t="s">
        <v>154</v>
      </c>
      <c r="F17" s="0" t="s">
        <v>261</v>
      </c>
      <c r="G17" s="0" t="s">
        <v>262</v>
      </c>
      <c r="H17" s="0" t="b">
        <v>1</v>
      </c>
      <c r="I17" s="0" t="s">
        <v>312</v>
      </c>
      <c r="J17" s="0" t="s">
        <v>255</v>
      </c>
      <c r="K17" s="0" t="s">
        <v>256</v>
      </c>
      <c r="L17" s="0" t="b">
        <v>1</v>
      </c>
      <c r="M17" s="0" t="s">
        <v>257</v>
      </c>
      <c r="N17" s="0" t="s">
        <v>258</v>
      </c>
      <c r="O17" s="0" t="s">
        <v>264</v>
      </c>
      <c r="P17" s="0" t="s">
        <v>265</v>
      </c>
      <c r="Q17" s="2">
        <v>44602.488652430555</v>
      </c>
      <c r="R17" s="2">
        <v>44610.93875725695</v>
      </c>
      <c r="S17" s="0" t="b">
        <v>0</v>
      </c>
      <c r="T17" s="0" t="b">
        <v>0</v>
      </c>
      <c r="U17" s="0" t="s">
        <v>313</v>
      </c>
      <c r="V17" s="0" t="s">
        <v>114</v>
      </c>
      <c r="W17" s="0" t="s">
        <v>114</v>
      </c>
      <c r="X17" s="0" t="s">
        <v>114</v>
      </c>
      <c r="Y17" s="0" t="s">
        <v>114</v>
      </c>
      <c r="Z17" s="0" t="s">
        <v>114</v>
      </c>
      <c r="AA17" s="0" t="s">
        <v>114</v>
      </c>
      <c r="AB17" s="0" t="s">
        <v>114</v>
      </c>
      <c r="AC17" s="0" t="s">
        <v>321</v>
      </c>
      <c r="AD17" s="0" t="s">
        <v>268</v>
      </c>
      <c r="AE17" s="0" t="s">
        <v>269</v>
      </c>
      <c r="AF17" s="0" t="s">
        <v>270</v>
      </c>
      <c r="AG17" s="0" t="s">
        <v>271</v>
      </c>
      <c r="AH17" s="0" t="s">
        <v>272</v>
      </c>
      <c r="AI17" s="0" t="s">
        <v>114</v>
      </c>
      <c r="AJ17" s="0" t="s">
        <v>273</v>
      </c>
      <c r="AK17" s="0" t="s">
        <v>274</v>
      </c>
      <c r="AL17" s="0" t="s">
        <v>275</v>
      </c>
      <c r="AM17" s="0" t="s">
        <v>272</v>
      </c>
      <c r="AN17" s="0" t="s">
        <v>276</v>
      </c>
      <c r="AO17" s="0" t="s">
        <v>277</v>
      </c>
      <c r="AP17" s="0" t="s">
        <v>257</v>
      </c>
      <c r="AQ17" s="0" t="s">
        <v>286</v>
      </c>
      <c r="AR17" s="0" t="s">
        <v>114</v>
      </c>
      <c r="AS17" s="0" t="s">
        <v>114</v>
      </c>
      <c r="AT17" s="0" t="s">
        <v>114</v>
      </c>
      <c r="AU17" s="0" t="s">
        <v>114</v>
      </c>
      <c r="AV17" s="0" t="s">
        <v>315</v>
      </c>
      <c r="AW17" s="0" t="s">
        <v>114</v>
      </c>
      <c r="AX17" s="0">
        <v>13</v>
      </c>
      <c r="AY17" s="0">
        <v>65</v>
      </c>
      <c r="AZ17" s="0">
        <v>12</v>
      </c>
      <c r="BA17" s="0">
        <v>12</v>
      </c>
      <c r="BB17" s="0">
        <v>47</v>
      </c>
      <c r="BC17" s="0">
        <v>2792</v>
      </c>
      <c r="BD17" s="0">
        <v>1398</v>
      </c>
      <c r="BE17" s="1">
        <f>=HYPERLINK("10.175.1.14\MWEB.12\NODE\EntityDetails.10.175.1.14.MWEB.12.skmweb2x0od0.2792.xlsx", "&lt;Detail&gt;")</f>
      </c>
      <c r="BF17" s="1">
        <f>=HYPERLINK("10.175.1.14\MWEB.12\NODE\MetricGraphs.NODE.10.175.1.14.MWEB.12.xlsx", "&lt;Metrics&gt;")</f>
      </c>
      <c r="BG17" s="1">
        <f>=HYPERLINK("10.175.1.14\MWEB.12\NODE\FlameGraph.Node.10.175.1.14.MWEB.12.skmweb2x0od0.2792.svg", "&lt;FlGraph&gt;")</f>
      </c>
      <c r="BH17" s="1">
        <f>=HYPERLINK("10.175.1.14\MWEB.12\NODE\FlameChart.Node.10.175.1.14.MWEB.12.skmweb2x0od0.2792.svg", "&lt;FlChart&gt;")</f>
      </c>
      <c r="BI17" s="0" t="s">
        <v>101</v>
      </c>
      <c r="BJ17" s="0" t="s">
        <v>145</v>
      </c>
      <c r="BK17" s="0" t="s">
        <v>197</v>
      </c>
      <c r="BL17" s="0" t="s">
        <v>322</v>
      </c>
    </row>
  </sheetData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198</v>
      </c>
      <c r="B2" s="1">
        <f>=HYPERLINK("#'7.Nodes'!A1", "&lt;Go&gt;")</f>
      </c>
    </row>
  </sheetData>
  <headerFooter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Detected APM Entities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