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pivotTable+xml" PartName="/xl/pivotTables/pivotTable1.xml"/>
  <Override ContentType="application/vnd.openxmlformats-officedocument.spreadsheetml.pivotCacheDefinition+xml" PartName="/xl/pivotCache/pivotCacheDefinition1.xml"/>
  <Override ContentType="application/vnd.openxmlformats-officedocument.spreadsheetml.pivotCacheRecords+xml" PartName="/xl/pivotCache/pivotCacheRecords1.xml"/>
  <Override ContentType="application/vnd.openxmlformats-officedocument.spreadsheetml.pivotTable+xml" PartName="/xl/pivotTables/pivotTable2.xml"/>
  <Override ContentType="application/vnd.openxmlformats-officedocument.spreadsheetml.pivotCacheDefinition+xml" PartName="/xl/pivotCache/pivotCacheDefinition2.xml"/>
  <Override ContentType="application/vnd.openxmlformats-officedocument.spreadsheetml.pivotCacheRecords+xml" PartName="/xl/pivotCache/pivotCacheRecords2.xml"/>
  <Override ContentType="application/vnd.openxmlformats-officedocument.spreadsheetml.pivotTable+xml" PartName="/xl/pivotTables/pivotTable3.xml"/>
  <Override ContentType="application/vnd.openxmlformats-officedocument.spreadsheetml.pivotCacheDefinition+xml" PartName="/xl/pivotCache/pivotCacheDefinition3.xml"/>
  <Override ContentType="application/vnd.openxmlformats-officedocument.spreadsheetml.pivotCacheRecords+xml" PartName="/xl/pivotCache/pivotCacheRecords3.xml"/>
  <Override ContentType="application/vnd.openxmlformats-officedocument.drawing+xml" PartName="/xl/drawings/drawing10.xml"/>
  <Override ContentType="application/vnd.openxmlformats-officedocument.drawingml.chart+xml" PartName="/xl/charts/chart1.xml"/>
  <Override ContentType="application/vnd.openxmlformats-officedocument.spreadsheetml.pivotTable+xml" PartName="/xl/pivotTables/pivotTable4.xml"/>
  <Override ContentType="application/vnd.openxmlformats-officedocument.spreadsheetml.pivotCacheDefinition+xml" PartName="/xl/pivotCache/pivotCacheDefinition4.xml"/>
  <Override ContentType="application/vnd.openxmlformats-officedocument.spreadsheetml.pivotCacheRecords+xml" PartName="/xl/pivotCache/pivotCacheRecords4.xml"/>
  <Override ContentType="application/vnd.openxmlformats-officedocument.spreadsheetml.pivotTable+xml" PartName="/xl/pivotTables/pivotTable5.xml"/>
  <Override ContentType="application/vnd.openxmlformats-officedocument.spreadsheetml.pivotCacheDefinition+xml" PartName="/xl/pivotCache/pivotCacheDefinition5.xml"/>
  <Override ContentType="application/vnd.openxmlformats-officedocument.spreadsheetml.pivotCacheRecords+xml" PartName="/xl/pivotCache/pivotCacheRecords5.xml"/>
  <Override ContentType="application/vnd.openxmlformats-officedocument.drawing+xml" PartName="/xl/drawings/drawing14.xml"/>
  <Override ContentType="application/vnd.openxmlformats-officedocument.drawingml.chart+xml" PartName="/xl/charts/chart2.xml"/>
  <Override ContentType="application/vnd.openxmlformats-officedocument.spreadsheetml.pivotTable+xml" PartName="/xl/pivotTables/pivotTable6.xml"/>
  <Override ContentType="application/vnd.openxmlformats-officedocument.spreadsheetml.pivotCacheDefinition+xml" PartName="/xl/pivotCache/pivotCacheDefinition6.xml"/>
  <Override ContentType="application/vnd.openxmlformats-officedocument.spreadsheetml.pivotCacheRecords+xml" PartName="/xl/pivotCache/pivotCacheRecords6.xml"/>
  <Override ContentType="application/vnd.openxmlformats-officedocument.spreadsheetml.pivotTable+xml" PartName="/xl/pivotTables/pivotTable7.xml"/>
  <Override ContentType="application/vnd.openxmlformats-officedocument.spreadsheetml.pivotCacheDefinition+xml" PartName="/xl/pivotCache/pivotCacheDefinition7.xml"/>
  <Override ContentType="application/vnd.openxmlformats-officedocument.spreadsheetml.pivotCacheRecords+xml" PartName="/xl/pivotCache/pivotCacheRecords7.xml"/>
  <Override ContentType="application/vnd.openxmlformats-officedocument.spreadsheetml.pivotTable+xml" PartName="/xl/pivotTables/pivotTable8.xml"/>
  <Override ContentType="application/vnd.openxmlformats-officedocument.spreadsheetml.pivotCacheDefinition+xml" PartName="/xl/pivotCache/pivotCacheDefinition8.xml"/>
  <Override ContentType="application/vnd.openxmlformats-officedocument.spreadsheetml.pivotCacheRecords+xml" PartName="/xl/pivotCache/pivotCacheRecords8.xml"/>
  <Override ContentType="application/vnd.openxmlformats-officedocument.spreadsheetml.table+xml" PartName="/xl/tables/table1.xml"/>
  <Override ContentType="application/vnd.openxmlformats-officedocument.spreadsheetml.table+xml" PartName="/xl/tables/table15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spreadsheetml.table+xml" PartName="/xl/tables/table6.xml"/>
  <Override ContentType="application/vnd.openxmlformats-officedocument.spreadsheetml.table+xml" PartName="/xl/tables/table7.xml"/>
  <Override ContentType="application/vnd.openxmlformats-officedocument.spreadsheetml.table+xml" PartName="/xl/tables/table8.xml"/>
  <Override ContentType="application/vnd.openxmlformats-officedocument.spreadsheetml.table+xml" PartName="/xl/tables/table9.xml"/>
  <Override ContentType="application/vnd.openxmlformats-officedocument.spreadsheetml.table+xml" PartName="/xl/tables/table10.xml"/>
  <Override ContentType="application/vnd.openxmlformats-officedocument.spreadsheetml.table+xml" PartName="/xl/tables/table11.xml"/>
  <Override ContentType="application/vnd.openxmlformats-officedocument.spreadsheetml.table+xml" PartName="/xl/tables/table12.xml"/>
  <Override ContentType="application/vnd.openxmlformats-officedocument.spreadsheetml.table+xml" PartName="/xl/tables/table13.xml"/>
  <Override ContentType="application/vnd.openxmlformats-officedocument.spreadsheetml.table+xml" PartName="/xl/tables/table14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" sheetId="4" r:id="rId5"/>
    <sheet name="4.Applications.Hourly" sheetId="5" r:id="rId6"/>
    <sheet name="4.Applications.Perf" sheetId="6" r:id="rId7"/>
    <sheet name="5.Tiers" sheetId="7" r:id="rId8"/>
    <sheet name="5.Tiers.Hourly" sheetId="8" r:id="rId9"/>
    <sheet name="5.Tiers.Perf" sheetId="9" r:id="rId10"/>
    <sheet name="5.Tiers.Availability" sheetId="10" r:id="rId11"/>
    <sheet name="6.Nodes" sheetId="11" r:id="rId12"/>
    <sheet name="6.Nodes.Hourly" sheetId="12" r:id="rId13"/>
    <sheet name="6.Nodes.Perf" sheetId="13" r:id="rId14"/>
    <sheet name="6.Nodes.Availability" sheetId="14" r:id="rId15"/>
    <sheet name="7.Backends" sheetId="15" r:id="rId16"/>
    <sheet name="7.Backends.Hourly" sheetId="16" r:id="rId17"/>
    <sheet name="7.Backends.Perf" sheetId="17" r:id="rId18"/>
    <sheet name="8.BTs" sheetId="18" r:id="rId19"/>
    <sheet name="8.BTs.Hourly" sheetId="19" r:id="rId20"/>
    <sheet name="8.BTs.Perf" sheetId="20" r:id="rId21"/>
    <sheet name="9.SEPs" sheetId="21" r:id="rId22"/>
    <sheet name="9.SEPs.Hourly" sheetId="22" r:id="rId23"/>
    <sheet name="9.SEPs.Perf" sheetId="23" r:id="rId24"/>
    <sheet name="10.Errors" sheetId="24" r:id="rId25"/>
    <sheet name="10.Errors.Hourly" sheetId="25" r:id="rId26"/>
    <sheet name="10.Errors.Perf" sheetId="26" r:id="rId27"/>
    <sheet name="11.Information Points" sheetId="27" r:id="rId28"/>
    <sheet name="11.Information Points.Hourly" sheetId="28" r:id="rId29"/>
    <sheet name="11.Information Points.Perf" sheetId="29" r:id="rId30"/>
  </sheets>
  <calcPr fullCalcOnLoad="1"/>
  <pivotCaches>
    <pivotCache cacheId="1" r:id="rId31"/>
    <pivotCache cacheId="2" r:id="rId32"/>
    <pivotCache cacheId="3" r:id="rId33"/>
    <pivotCache cacheId="4" r:id="rId34"/>
    <pivotCache cacheId="5" r:id="rId35"/>
    <pivotCache cacheId="6" r:id="rId36"/>
    <pivotCache cacheId="7" r:id="rId37"/>
    <pivotCache cacheId="8" r:id="rId38"/>
  </pivotCaches>
</workbook>
</file>

<file path=xl/sharedStrings.xml><?xml version="1.0" encoding="utf-8"?>
<sst xmlns="http://schemas.openxmlformats.org/spreadsheetml/2006/main" count="875" uniqueCount="875">
  <si>
    <t>Table of Contents</t>
  </si>
  <si>
    <t>AppDynamics DEXTER Entity Metrics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</si>
  <si>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</si>
  <si>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</si>
  <si>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</si>
  <si>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</si>
  <si>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</si>
  <si>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</si>
  <si>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</si>
  <si>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</si>
  <si>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</si>
  <si>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</si>
  <si>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</si>
  <si>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</si>
  <si>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</si>
  <si>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</si>
  <si>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</si>
  <si>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</si>
  <si>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</si>
  <si>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</si>
  <si>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</si>
  <si>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</si>
  <si>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</si>
  <si>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</si>
  <si>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</si>
  <si>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</si>
  <si>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</si>
  <si>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</si>
  <si>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</si>
  <si>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</si>
  <si>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</si>
  <si>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</si>
  <si>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</si>
  <si>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</si>
  <si>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</si>
  <si>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</si>
  <si>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</si>
  <si>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</si>
  <si>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</t>
  </si>
  <si>
    <t>4.Applications.Hourly</t>
  </si>
  <si>
    <t>4.Applications.Perf</t>
  </si>
  <si>
    <t>2 rows x 0 columns x 2 filters</t>
  </si>
  <si>
    <t>5.Tiers</t>
  </si>
  <si>
    <t>5.Tiers.Hourly</t>
  </si>
  <si>
    <t>5.Tiers.Perf</t>
  </si>
  <si>
    <t>4 rows x 0 columns x 2 filters</t>
  </si>
  <si>
    <t>5.Tiers.Availability</t>
  </si>
  <si>
    <t>3 rows x 3 columns x 2 filters</t>
  </si>
  <si>
    <t>6.Nodes</t>
  </si>
  <si>
    <t>6.Nodes.Hourly</t>
  </si>
  <si>
    <t>6.Nodes.Perf</t>
  </si>
  <si>
    <t>5 rows x 0 columns x 2 filters</t>
  </si>
  <si>
    <t>6.Nodes.Availability</t>
  </si>
  <si>
    <t>3 rows x 3 columns x 4 filters</t>
  </si>
  <si>
    <t>7.Backends</t>
  </si>
  <si>
    <t>7.Backends.Hourly</t>
  </si>
  <si>
    <t>7.Backends.Perf</t>
  </si>
  <si>
    <t>8.BTs</t>
  </si>
  <si>
    <t>8.BTs.Hourly</t>
  </si>
  <si>
    <t>8.BTs.Perf</t>
  </si>
  <si>
    <t>9.SEPs</t>
  </si>
  <si>
    <t>9.SEPs.Hourly</t>
  </si>
  <si>
    <t>9.SEPs.Perf</t>
  </si>
  <si>
    <t>10.Errors</t>
  </si>
  <si>
    <t>10.Errors.Hourly</t>
  </si>
  <si>
    <t>10.Errors.Perf</t>
  </si>
  <si>
    <t>11.Information Points</t>
  </si>
  <si>
    <t>11.Information Points.Hourly</t>
  </si>
  <si>
    <t>11.Information Points.Perf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</si>
  <si>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</si>
  <si>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</si>
  <si>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</si>
  <si>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</si>
  <si>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</si>
  <si>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</si>
  <si>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</si>
  <si>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</si>
  <si>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</si>
  <si>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</si>
  <si>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</si>
  <si>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</si>
  <si>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</si>
  <si>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See Pivot</t>
  </si>
  <si>
    <t>ApplicationName</t>
  </si>
  <si>
    <t>ART</t>
  </si>
  <si>
    <t>ARTRange</t>
  </si>
  <si>
    <t>TimeTotal</t>
  </si>
  <si>
    <t>Calls</t>
  </si>
  <si>
    <t>CPM</t>
  </si>
  <si>
    <t>Errors</t>
  </si>
  <si>
    <t>EPM</t>
  </si>
  <si>
    <t>Exceptions</t>
  </si>
  <si>
    <t>EXCPM</t>
  </si>
  <si>
    <t>HttpErrors</t>
  </si>
  <si>
    <t>HTTPEPM</t>
  </si>
  <si>
    <t>ErrorsPercentage</t>
  </si>
  <si>
    <t>HasActivity</t>
  </si>
  <si>
    <t>FromUtc</t>
  </si>
  <si>
    <t>ToUtc</t>
  </si>
  <si>
    <t>Duration</t>
  </si>
  <si>
    <t>DetailLink</t>
  </si>
  <si>
    <t>MetricGraphLink</t>
  </si>
  <si>
    <t>FlameGraphLink</t>
  </si>
  <si>
    <t>FlameChartLink</t>
  </si>
  <si>
    <t>ApplicationLink</t>
  </si>
  <si>
    <t>MetricLink</t>
  </si>
  <si>
    <t>00: t=0</t>
  </si>
  <si>
    <t>http://10.175.1.14:8090/controller/#/location=AD_HOME_OVERVIEW&amp;timeRange=Custom_Time_Range.BETWEEN_TIMES.1645423200000.1645419600000.60</t>
  </si>
  <si>
    <t>http://10.175.1.14:8090/controller/#/location=APP_DASHBOARD&amp;timeRange=Custom_Time_Range.BETWEEN_TIMES.1645423200000.1645419600000.60&amp;application=12&amp;dashboardMode=force</t>
  </si>
  <si>
    <t/>
  </si>
  <si>
    <t>See Table</t>
  </si>
  <si>
    <t>See Agent Availability</t>
  </si>
  <si>
    <t>TierName</t>
  </si>
  <si>
    <t>TierType</t>
  </si>
  <si>
    <t>AgentType</t>
  </si>
  <si>
    <t>NumNodes</t>
  </si>
  <si>
    <t>AvailAgent</t>
  </si>
  <si>
    <t>AvailMachine</t>
  </si>
  <si>
    <t>TierID</t>
  </si>
  <si>
    <t>TierLink</t>
  </si>
  <si>
    <t>Extention</t>
  </si>
  <si>
    <t>Application Server</t>
  </si>
  <si>
    <t>APP_AGENT</t>
  </si>
  <si>
    <t>http://10.175.1.14:8090/controller/#/location=APP_COMPONENT_MANAGER&amp;timeRange=Custom_Time_Range.BETWEEN_TIMES.1645423200000.1645419600000.60&amp;application=12&amp;component=33&amp;dashboardMode=force</t>
  </si>
  <si>
    <t>http://10.175.1.14:8090/controller/#/location=METRIC_BROWSER&amp;timeRange=Custom_Time_Range.BETWEEN_TIMES.1645423200000.1645419600000.60&amp;application=12&amp;metrics=APPLICATION_COMPONENT.33.120607,APPLICATION_COMPONENT.33.120593,APPLICATION_COMPONENT.33.120504,APPLICATION_COMPONENT.33.120502,APPLICATION_COMPONENT.33.120515</t>
  </si>
  <si>
    <t>shmweb0x0am-MUFGWebService</t>
  </si>
  <si>
    <t>http://10.175.1.14:8090/controller/#/location=APP_COMPONENT_MANAGER&amp;timeRange=Custom_Time_Range.BETWEEN_TIMES.1645423200000.1645419600000.60&amp;application=12&amp;component=42&amp;dashboardMode=force</t>
  </si>
  <si>
    <t>shmweb0x0an-Nyukai-CR</t>
  </si>
  <si>
    <t>http://10.175.1.14:8090/controller/#/location=APP_COMPONENT_MANAGER&amp;timeRange=Custom_Time_Range.BETWEEN_TIMES.1645423200000.1645419600000.60&amp;application=12&amp;component=39&amp;dashboardMode=force</t>
  </si>
  <si>
    <t>shmweb0x0an-Nyukai-MAINT</t>
  </si>
  <si>
    <t>http://10.175.1.14:8090/controller/#/location=APP_COMPONENT_MANAGER&amp;timeRange=Custom_Time_Range.BETWEEN_TIMES.1645423200000.1645419600000.60&amp;application=12&amp;component=41&amp;dashboardMode=force</t>
  </si>
  <si>
    <t>shmweb0x0an-Nyukai-UFJC</t>
  </si>
  <si>
    <t>http://10.175.1.14:8090/controller/#/location=APP_COMPONENT_MANAGER&amp;timeRange=Custom_Time_Range.BETWEEN_TIMES.1645423200000.1645419600000.60&amp;application=12&amp;component=40&amp;dashboardMode=force</t>
  </si>
  <si>
    <t>shmweb0x0at-TogoWebService1M</t>
  </si>
  <si>
    <t>http://10.175.1.14:8090/controller/#/location=APP_COMPONENT_MANAGER&amp;timeRange=Custom_Time_Range.BETWEEN_TIMES.1645423200000.1645419600000.60&amp;application=12&amp;component=36&amp;dashboardMode=force</t>
  </si>
  <si>
    <t>shmweb0x0at-TogoWebService2D</t>
  </si>
  <si>
    <t>http://10.175.1.14:8090/controller/#/location=APP_COMPONENT_MANAGER&amp;timeRange=Custom_Time_Range.BETWEEN_TIMES.1645423200000.1645419600000.60&amp;application=12&amp;component=37&amp;dashboardMode=force</t>
  </si>
  <si>
    <t>shmweb0x0at-TogoWebService3N</t>
  </si>
  <si>
    <t>http://10.175.1.14:8090/controller/#/location=APP_COMPONENT_MANAGER&amp;timeRange=Custom_Time_Range.BETWEEN_TIMES.1645423200000.1645419600000.60&amp;application=12&amp;component=38&amp;dashboardMode=force</t>
  </si>
  <si>
    <t>shmweb0x0cp-CMS</t>
  </si>
  <si>
    <t>PHP Application Server</t>
  </si>
  <si>
    <t>PHP_APP_AGENT</t>
  </si>
  <si>
    <t>http://10.175.1.14:8090/controller/#/location=APP_COMPONENT_MANAGER&amp;timeRange=Custom_Time_Range.BETWEEN_TIMES.1645423200000.1645419600000.60&amp;application=12&amp;component=35&amp;dashboardMode=force</t>
  </si>
  <si>
    <t>shmweb0x0fp-FEPGW</t>
  </si>
  <si>
    <t>http://10.175.1.14:8090/controller/#/location=APP_COMPONENT_MANAGER&amp;timeRange=Custom_Time_Range.BETWEEN_TIMES.1645423200000.1645419600000.60&amp;application=12&amp;component=43&amp;dashboardMode=force</t>
  </si>
  <si>
    <t>shmweb0x0od-OD</t>
  </si>
  <si>
    <t>http://10.175.1.14:8090/controller/#/location=APP_COMPONENT_MANAGER&amp;timeRange=Custom_Time_Range.BETWEEN_TIMES.1645423200000.1645419600000.60&amp;application=12&amp;component=34&amp;dashboardMode=force</t>
  </si>
  <si>
    <t>skmweb2x0am-MUFGWebService</t>
  </si>
  <si>
    <t>http://10.175.1.14:8090/controller/#/location=APP_COMPONENT_MANAGER&amp;timeRange=Custom_Time_Range.BETWEEN_TIMES.1645423200000.1645419600000.60&amp;application=12&amp;component=49&amp;dashboardMode=force</t>
  </si>
  <si>
    <t>skmweb2x0an-Nyukai-CR</t>
  </si>
  <si>
    <t>http://10.175.1.14:8090/controller/#/location=APP_COMPONENT_MANAGER&amp;timeRange=Custom_Time_Range.BETWEEN_TIMES.1645423200000.1645419600000.60&amp;application=12&amp;component=50&amp;dashboardMode=force</t>
  </si>
  <si>
    <t>skmweb2x0an-Nyukai-MAINT</t>
  </si>
  <si>
    <t>http://10.175.1.14:8090/controller/#/location=APP_COMPONENT_MANAGER&amp;timeRange=Custom_Time_Range.BETWEEN_TIMES.1645423200000.1645419600000.60&amp;application=12&amp;component=52&amp;dashboardMode=force</t>
  </si>
  <si>
    <t>skmweb2x0an-Nyukai-UFJC</t>
  </si>
  <si>
    <t>http://10.175.1.14:8090/controller/#/location=APP_COMPONENT_MANAGER&amp;timeRange=Custom_Time_Range.BETWEEN_TIMES.1645423200000.1645419600000.60&amp;application=12&amp;component=51&amp;dashboardMode=force</t>
  </si>
  <si>
    <t>skmweb2x0at01-TogoWebService2D</t>
  </si>
  <si>
    <t>http://10.175.1.14:8090/controller/#/location=APP_COMPONENT_MANAGER&amp;timeRange=Custom_Time_Range.BETWEEN_TIMES.1645423200000.1645419600000.60&amp;application=12&amp;component=54&amp;dashboardMode=force</t>
  </si>
  <si>
    <t>skmweb2x0at-TogoWebService1M</t>
  </si>
  <si>
    <t>http://10.175.1.14:8090/controller/#/location=APP_COMPONENT_MANAGER&amp;timeRange=Custom_Time_Range.BETWEEN_TIMES.1645423200000.1645419600000.60&amp;application=12&amp;component=53&amp;dashboardMode=force</t>
  </si>
  <si>
    <t>skmweb2x0at-TogoWebService3N</t>
  </si>
  <si>
    <t>http://10.175.1.14:8090/controller/#/location=APP_COMPONENT_MANAGER&amp;timeRange=Custom_Time_Range.BETWEEN_TIMES.1645423200000.1645419600000.60&amp;application=12&amp;component=56&amp;dashboardMode=force</t>
  </si>
  <si>
    <t>skmweb2x0cp-CMS</t>
  </si>
  <si>
    <t>http://10.175.1.14:8090/controller/#/location=APP_COMPONENT_MANAGER&amp;timeRange=Custom_Time_Range.BETWEEN_TIMES.1645423200000.1645419600000.60&amp;application=12&amp;component=48&amp;dashboardMode=force</t>
  </si>
  <si>
    <t>skmweb2x0fp-FEPGW</t>
  </si>
  <si>
    <t>http://10.175.1.14:8090/controller/#/location=APP_COMPONENT_MANAGER&amp;timeRange=Custom_Time_Range.BETWEEN_TIMES.1645423200000.1645419600000.60&amp;application=12&amp;component=55&amp;dashboardMode=force</t>
  </si>
  <si>
    <t>skmweb2x0od-OD</t>
  </si>
  <si>
    <t>http://10.175.1.14:8090/controller/#/location=APP_COMPONENT_MANAGER&amp;timeRange=Custom_Time_Range.BETWEEN_TIMES.1645423200000.1645419600000.60&amp;application=12&amp;component=47&amp;dashboardMode=force</t>
  </si>
  <si>
    <t>NodeName</t>
  </si>
  <si>
    <t>IsAPMAgentUsed</t>
  </si>
  <si>
    <t>IsMachineAgentUsed</t>
  </si>
  <si>
    <t>NodeID</t>
  </si>
  <si>
    <t>NodeLink</t>
  </si>
  <si>
    <t>skcaws1c0mo01_MWEB</t>
  </si>
  <si>
    <t>MACHINE_AGENT</t>
  </si>
  <si>
    <t>http://10.175.1.14:8090/controller/#/location=APP_NODE_MANAGER&amp;timeRange=Custom_Time_Range.BETWEEN_TIMES.1645423200000.1645419600000.60&amp;application=12&amp;node=703&amp;dashboardMode=force</t>
  </si>
  <si>
    <t>http://10.175.1.14:8090/controller/#/location=METRIC_BROWSER&amp;timeRange=Custom_Time_Range.BETWEEN_TIMES.1645423200000.1645419600000.60&amp;application=12&amp;metrics=APPLICATION_COMPONENT_NODE.703.120607,APPLICATION_COMPONENT_NODE.703.120593,APPLICATION_COMPONENT_NODE.703.120504,APPLICATION_COMPONENT_NODE.703.120502,APPLICATION_COMPONENT_NODE.703.120515</t>
  </si>
  <si>
    <t>skmweb2x0am01-1</t>
  </si>
  <si>
    <t>http://10.175.1.14:8090/controller/#/location=APP_NODE_MANAGER&amp;timeRange=Custom_Time_Range.BETWEEN_TIMES.1645423200000.1645419600000.60&amp;application=12&amp;node=2774&amp;dashboardMode=force</t>
  </si>
  <si>
    <t>skmweb2x0am01-2</t>
  </si>
  <si>
    <t>http://10.175.1.14:8090/controller/#/location=APP_NODE_MANAGER&amp;timeRange=Custom_Time_Range.BETWEEN_TIMES.1645423200000.1645419600000.60&amp;application=12&amp;node=2775&amp;dashboardMode=force</t>
  </si>
  <si>
    <t>skmweb2x0an01-CR</t>
  </si>
  <si>
    <t>http://10.175.1.14:8090/controller/#/location=APP_NODE_MANAGER&amp;timeRange=Custom_Time_Range.BETWEEN_TIMES.1645423200000.1645419600000.60&amp;application=12&amp;node=2784&amp;dashboardMode=force</t>
  </si>
  <si>
    <t>skmweb2x0an01-MAINT</t>
  </si>
  <si>
    <t>http://10.175.1.14:8090/controller/#/location=APP_NODE_MANAGER&amp;timeRange=Custom_Time_Range.BETWEEN_TIMES.1645423200000.1645419600000.60&amp;application=12&amp;node=2786&amp;dashboardMode=force</t>
  </si>
  <si>
    <t>skmweb2x0an01-UFJC</t>
  </si>
  <si>
    <t>http://10.175.1.14:8090/controller/#/location=APP_NODE_MANAGER&amp;timeRange=Custom_Time_Range.BETWEEN_TIMES.1645423200000.1645419600000.60&amp;application=12&amp;node=2785&amp;dashboardMode=force</t>
  </si>
  <si>
    <t>skmweb2x0at01-2D</t>
  </si>
  <si>
    <t>http://10.175.1.14:8090/controller/#/location=APP_NODE_MANAGER&amp;timeRange=Custom_Time_Range.BETWEEN_TIMES.1645423200000.1645419600000.60&amp;application=12&amp;node=2781&amp;dashboardMode=force</t>
  </si>
  <si>
    <t>skmweb2x0at01-1M</t>
  </si>
  <si>
    <t>http://10.175.1.14:8090/controller/#/location=APP_NODE_MANAGER&amp;timeRange=Custom_Time_Range.BETWEEN_TIMES.1645423200000.1645419600000.60&amp;application=12&amp;node=2780&amp;dashboardMode=force</t>
  </si>
  <si>
    <t>skmweb2x0at01-3N</t>
  </si>
  <si>
    <t>http://10.175.1.14:8090/controller/#/location=APP_NODE_MANAGER&amp;timeRange=Custom_Time_Range.BETWEEN_TIMES.1645423200000.1645419600000.60&amp;application=12&amp;node=2782&amp;dashboardMode=force</t>
  </si>
  <si>
    <t>skmweb2x0fp01</t>
  </si>
  <si>
    <t>http://10.175.1.14:8090/controller/#/location=APP_NODE_MANAGER&amp;timeRange=Custom_Time_Range.BETWEEN_TIMES.1645423200000.1645419600000.60&amp;application=12&amp;node=2103&amp;dashboardMode=force</t>
  </si>
  <si>
    <t>skmweb2x0od01-1</t>
  </si>
  <si>
    <t>http://10.175.1.14:8090/controller/#/location=APP_NODE_MANAGER&amp;timeRange=Custom_Time_Range.BETWEEN_TIMES.1645423200000.1645419600000.60&amp;application=12&amp;node=2079&amp;dashboardMode=force</t>
  </si>
  <si>
    <t>skmweb2x0od01-2</t>
  </si>
  <si>
    <t>http://10.175.1.14:8090/controller/#/location=APP_NODE_MANAGER&amp;timeRange=Custom_Time_Range.BETWEEN_TIMES.1645423200000.1645419600000.60&amp;application=12&amp;node=2080&amp;dashboardMode=force</t>
  </si>
  <si>
    <t>skmweb2x0od01-3</t>
  </si>
  <si>
    <t>http://10.175.1.14:8090/controller/#/location=APP_NODE_MANAGER&amp;timeRange=Custom_Time_Range.BETWEEN_TIMES.1645423200000.1645419600000.60&amp;application=12&amp;node=2792&amp;dashboardMode=force</t>
  </si>
  <si>
    <t>BackendName</t>
  </si>
  <si>
    <t>BackendType</t>
  </si>
  <si>
    <t>BackendID</t>
  </si>
  <si>
    <t>BackendLink</t>
  </si>
  <si>
    <t>Oracle Weblogic-WlcFgw!WlcFgwJmsMessageResponseQueue</t>
  </si>
  <si>
    <t>JMS</t>
  </si>
  <si>
    <t>http://10.175.1.14:8090/controller/#/location=APP_BACKEND_DASHBOARD&amp;timeRange=Custom_Time_Range.BETWEEN_TIMES.1645423200000.1645419600000.60&amp;application=12&amp;backendDashboard=9&amp;dashboardMode=force</t>
  </si>
  <si>
    <t>Oracle Weblogic-WlcFgwJmsMessageRequestQueue</t>
  </si>
  <si>
    <t>http://10.175.1.14:8090/controller/#/location=APP_BACKEND_DASHBOARD&amp;timeRange=Custom_Time_Range.BETWEEN_TIMES.1645423200000.1645419600000.60&amp;application=12&amp;backendDashboard=7&amp;dashboardMode=force</t>
  </si>
  <si>
    <t>Websphere MQ-QRB01OD</t>
  </si>
  <si>
    <t>http://10.175.1.14:8090/controller/#/location=APP_BACKEND_DASHBOARD&amp;timeRange=Custom_Time_Range.BETWEEN_TIMES.1645423200000.1645419600000.60&amp;application=12&amp;backendDashboard=410&amp;dashboardMode=force</t>
  </si>
  <si>
    <t>Websphere MQ-QRC01OD</t>
  </si>
  <si>
    <t>http://10.175.1.14:8090/controller/#/location=APP_BACKEND_DASHBOARD&amp;timeRange=Custom_Time_Range.BETWEEN_TIMES.1645423200000.1645419600000.60&amp;application=12&amp;backendDashboard=553&amp;dashboardMode=force</t>
  </si>
  <si>
    <t>Websphere MQ-SYSTEM.ADMIN.COMMAND.QUEUE</t>
  </si>
  <si>
    <t>http://10.175.1.14:8090/controller/#/location=APP_BACKEND_DASHBOARD&amp;timeRange=Custom_Time_Range.BETWEEN_TIMES.1645423200000.1645419600000.60&amp;application=12&amp;backendDashboard=36&amp;dashboardMode=force</t>
  </si>
  <si>
    <t>WLCFGWDB-MySQL-SKMWEB2X0AD01-5.7.12-log</t>
  </si>
  <si>
    <t>JDBC</t>
  </si>
  <si>
    <t>http://10.175.1.14:8090/controller/#/location=APP_BACKEND_DASHBOARD&amp;timeRange=Custom_Time_Range.BETWEEN_TIMES.1645423200000.1645419600000.60&amp;application=12&amp;backendDashboard=397&amp;dashboardMode=force</t>
  </si>
  <si>
    <t>BTName</t>
  </si>
  <si>
    <t>BTType</t>
  </si>
  <si>
    <t>BTID</t>
  </si>
  <si>
    <t>BTLink</t>
  </si>
  <si>
    <t>/</t>
  </si>
  <si>
    <t>PHP_WEB</t>
  </si>
  <si>
    <t>http://10.175.1.14:8090/controller/#/location=APP_BT_DETAIL&amp;timeRange=Custom_Time_Range.BETWEEN_TIMES.1645423200000.1645419600000.60&amp;application=12&amp;businessTransaction=926&amp;dashboardMode=force</t>
  </si>
  <si>
    <t>/.POST</t>
  </si>
  <si>
    <t>WEB_SERVICE</t>
  </si>
  <si>
    <t>http://10.175.1.14:8090/controller/#/location=APP_BT_DETAIL&amp;timeRange=Custom_Time_Range.BETWEEN_TIMES.1645423200000.1645419600000.60&amp;application=12&amp;businessTransaction=778&amp;dashboardMode=force</t>
  </si>
  <si>
    <t>/admin/login.jsp</t>
  </si>
  <si>
    <t>SERVLET</t>
  </si>
  <si>
    <t>http://10.175.1.14:8090/controller/#/location=APP_BT_DETAIL&amp;timeRange=Custom_Time_Range.BETWEEN_TIMES.1645423200000.1645419600000.60&amp;application=12&amp;businessTransaction=438&amp;dashboardMode=force</t>
  </si>
  <si>
    <t>/api/login</t>
  </si>
  <si>
    <t>http://10.175.1.14:8090/controller/#/location=APP_BT_DETAIL&amp;timeRange=Custom_Time_Range.BETWEEN_TIMES.1645423200000.1645419600000.60&amp;application=12&amp;businessTransaction=170&amp;dashboardMode=force</t>
  </si>
  <si>
    <t>/authenticate/login</t>
  </si>
  <si>
    <t>http://10.175.1.14:8090/controller/#/location=APP_BT_DETAIL&amp;timeRange=Custom_Time_Range.BETWEEN_TIMES.1645423200000.1645419600000.60&amp;application=12&amp;businessTransaction=933&amp;dashboardMode=force</t>
  </si>
  <si>
    <t>/bea_wls_internal/classes</t>
  </si>
  <si>
    <t>http://10.175.1.14:8090/controller/#/location=APP_BT_DETAIL&amp;timeRange=Custom_Time_Range.BETWEEN_TIMES.1645423200000.1645419600000.60&amp;application=12&amp;businessTransaction=426&amp;dashboardMode=force</t>
  </si>
  <si>
    <t>http://10.175.1.14:8090/controller/#/location=APP_BT_DETAIL&amp;timeRange=Custom_Time_Range.BETWEEN_TIMES.1645423200000.1645419600000.60&amp;application=12&amp;businessTransaction=718&amp;dashboardMode=force</t>
  </si>
  <si>
    <t>/connect/api</t>
  </si>
  <si>
    <t>http://10.175.1.14:8090/controller/#/location=APP_BT_DETAIL&amp;timeRange=Custom_Time_Range.BETWEEN_TIMES.1645423200000.1645419600000.60&amp;application=12&amp;businessTransaction=169&amp;dashboardMode=force</t>
  </si>
  <si>
    <t>http://10.175.1.14:8090/controller/#/location=APP_BT_DETAIL&amp;timeRange=Custom_Time_Range.BETWEEN_TIMES.1645423200000.1645419600000.60&amp;application=12&amp;businessTransaction=204&amp;dashboardMode=force</t>
  </si>
  <si>
    <t>http://10.175.1.14:8090/controller/#/location=APP_BT_DETAIL&amp;timeRange=Custom_Time_Range.BETWEEN_TIMES.1645423200000.1645419600000.60&amp;application=12&amp;businessTransaction=219&amp;dashboardMode=force</t>
  </si>
  <si>
    <t>/connect/dummy</t>
  </si>
  <si>
    <t>http://10.175.1.14:8090/controller/#/location=APP_BT_DETAIL&amp;timeRange=Custom_Time_Range.BETWEEN_TIMES.1645423200000.1645419600000.60&amp;application=12&amp;businessTransaction=202&amp;dashboardMode=force</t>
  </si>
  <si>
    <t>/connect/index.html</t>
  </si>
  <si>
    <t>http://10.175.1.14:8090/controller/#/location=APP_BT_DETAIL&amp;timeRange=Custom_Time_Range.BETWEEN_TIMES.1645423200000.1645419600000.60&amp;application=12&amp;businessTransaction=406&amp;dashboardMode=force</t>
  </si>
  <si>
    <t>http://10.175.1.14:8090/controller/#/location=APP_BT_DETAIL&amp;timeRange=Custom_Time_Range.BETWEEN_TIMES.1645423200000.1645419600000.60&amp;application=12&amp;businessTransaction=789&amp;dashboardMode=force</t>
  </si>
  <si>
    <t>/connect/mobilewallet</t>
  </si>
  <si>
    <t>http://10.175.1.14:8090/controller/#/location=APP_BT_DETAIL&amp;timeRange=Custom_Time_Range.BETWEEN_TIMES.1645423200000.1645419600000.60&amp;application=12&amp;businessTransaction=317&amp;dashboardMode=force</t>
  </si>
  <si>
    <t>/connect/redirect</t>
  </si>
  <si>
    <t>http://10.175.1.14:8090/controller/#/location=APP_BT_DETAIL&amp;timeRange=Custom_Time_Range.BETWEEN_TIMES.1645423200000.1645419600000.60&amp;application=12&amp;businessTransaction=365&amp;dashboardMode=force</t>
  </si>
  <si>
    <t>/connect/WEB-INF</t>
  </si>
  <si>
    <t>http://10.175.1.14:8090/controller/#/location=APP_BT_DETAIL&amp;timeRange=Custom_Time_Range.BETWEEN_TIMES.1645423200000.1645419600000.60&amp;application=12&amp;businessTransaction=784&amp;dashboardMode=force</t>
  </si>
  <si>
    <t>/dms2/Login.jsp</t>
  </si>
  <si>
    <t>http://10.175.1.14:8090/controller/#/location=APP_BT_DETAIL&amp;timeRange=Custom_Time_Range.BETWEEN_TIMES.1645423200000.1645419600000.60&amp;application=12&amp;businessTransaction=437&amp;dashboardMode=force</t>
  </si>
  <si>
    <t>/file</t>
  </si>
  <si>
    <t>http://10.175.1.14:8090/controller/#/location=APP_BT_DETAIL&amp;timeRange=Custom_Time_Range.BETWEEN_TIMES.1645423200000.1645419600000.60&amp;application=12&amp;businessTransaction=930&amp;dashboardMode=force</t>
  </si>
  <si>
    <t>/hc/error</t>
  </si>
  <si>
    <t>http://10.175.1.14:8090/controller/#/location=APP_BT_DETAIL&amp;timeRange=Custom_Time_Range.BETWEEN_TIMES.1645423200000.1645419600000.60&amp;application=12&amp;businessTransaction=932&amp;dashboardMode=force</t>
  </si>
  <si>
    <t>/health_check.php</t>
  </si>
  <si>
    <t>http://10.175.1.14:8090/controller/#/location=APP_BT_DETAIL&amp;timeRange=Custom_Time_Range.BETWEEN_TIMES.1645423200000.1645419600000.60&amp;application=12&amp;businessTransaction=336&amp;dashboardMode=force</t>
  </si>
  <si>
    <t>/HealthMonitor</t>
  </si>
  <si>
    <t>http://10.175.1.14:8090/controller/#/location=APP_BT_DETAIL&amp;timeRange=Custom_Time_Range.BETWEEN_TIMES.1645423200000.1645419600000.60&amp;application=12&amp;businessTransaction=157&amp;dashboardMode=force</t>
  </si>
  <si>
    <t>http://10.175.1.14:8090/controller/#/location=APP_BT_DETAIL&amp;timeRange=Custom_Time_Range.BETWEEN_TIMES.1645423200000.1645419600000.60&amp;application=12&amp;businessTransaction=108&amp;dashboardMode=force</t>
  </si>
  <si>
    <t>http://10.175.1.14:8090/controller/#/location=APP_BT_DETAIL&amp;timeRange=Custom_Time_Range.BETWEEN_TIMES.1645423200000.1645419600000.60&amp;application=12&amp;businessTransaction=234&amp;dashboardMode=force</t>
  </si>
  <si>
    <t>http://10.175.1.14:8090/controller/#/location=APP_BT_DETAIL&amp;timeRange=Custom_Time_Range.BETWEEN_TIMES.1645423200000.1645419600000.60&amp;application=12&amp;businessTransaction=158&amp;dashboardMode=force</t>
  </si>
  <si>
    <t>http://10.175.1.14:8090/controller/#/location=APP_BT_DETAIL&amp;timeRange=Custom_Time_Range.BETWEEN_TIMES.1645423200000.1645419600000.60&amp;application=12&amp;businessTransaction=207&amp;dashboardMode=force</t>
  </si>
  <si>
    <t>http://10.175.1.14:8090/controller/#/location=APP_BT_DETAIL&amp;timeRange=Custom_Time_Range.BETWEEN_TIMES.1645423200000.1645419600000.60&amp;application=12&amp;businessTransaction=208&amp;dashboardMode=force</t>
  </si>
  <si>
    <t>http://10.175.1.14:8090/controller/#/location=APP_BT_DETAIL&amp;timeRange=Custom_Time_Range.BETWEEN_TIMES.1645423200000.1645419600000.60&amp;application=12&amp;businessTransaction=702&amp;dashboardMode=force</t>
  </si>
  <si>
    <t>http://10.175.1.14:8090/controller/#/location=APP_BT_DETAIL&amp;timeRange=Custom_Time_Range.BETWEEN_TIMES.1645423200000.1645419600000.60&amp;application=12&amp;businessTransaction=700&amp;dashboardMode=force</t>
  </si>
  <si>
    <t>http://10.175.1.14:8090/controller/#/location=APP_BT_DETAIL&amp;timeRange=Custom_Time_Range.BETWEEN_TIMES.1645423200000.1645419600000.60&amp;application=12&amp;businessTransaction=699&amp;dashboardMode=force</t>
  </si>
  <si>
    <t>http://10.175.1.14:8090/controller/#/location=APP_BT_DETAIL&amp;timeRange=Custom_Time_Range.BETWEEN_TIMES.1645423200000.1645419600000.60&amp;application=12&amp;businessTransaction=696&amp;dashboardMode=force</t>
  </si>
  <si>
    <t>/html/nhome.html</t>
  </si>
  <si>
    <t>http://10.175.1.14:8090/controller/#/location=APP_BT_DETAIL&amp;timeRange=Custom_Time_Range.BETWEEN_TIMES.1645423200000.1645419600000.60&amp;application=12&amp;businessTransaction=927&amp;dashboardMode=force</t>
  </si>
  <si>
    <t>/index.html</t>
  </si>
  <si>
    <t>http://10.175.1.14:8090/controller/#/location=APP_BT_DETAIL&amp;timeRange=Custom_Time_Range.BETWEEN_TIMES.1645423200000.1645419600000.60&amp;application=12&amp;businessTransaction=441&amp;dashboardMode=force</t>
  </si>
  <si>
    <t>/index.php</t>
  </si>
  <si>
    <t>http://10.175.1.14:8090/controller/#/location=APP_BT_DETAIL&amp;timeRange=Custom_Time_Range.BETWEEN_TIMES.1645423200000.1645419600000.60&amp;application=12&amp;businessTransaction=479&amp;dashboardMode=force</t>
  </si>
  <si>
    <t>http://10.175.1.14:8090/controller/#/location=APP_BT_DETAIL&amp;timeRange=Custom_Time_Range.BETWEEN_TIMES.1645423200000.1645419600000.60&amp;application=12&amp;businessTransaction=929&amp;dashboardMode=force</t>
  </si>
  <si>
    <t>/inet/affiliate</t>
  </si>
  <si>
    <t>http://10.175.1.14:8090/controller/#/location=APP_BT_DETAIL&amp;timeRange=Custom_Time_Range.BETWEEN_TIMES.1645423200000.1645419600000.60&amp;application=12&amp;businessTransaction=168&amp;dashboardMode=force</t>
  </si>
  <si>
    <t>/inet/announcement</t>
  </si>
  <si>
    <t>http://10.175.1.14:8090/controller/#/location=APP_BT_DETAIL&amp;timeRange=Custom_Time_Range.BETWEEN_TIMES.1645423200000.1645419600000.60&amp;application=12&amp;businessTransaction=184&amp;dashboardMode=force</t>
  </si>
  <si>
    <t>/inet/clerk</t>
  </si>
  <si>
    <t>http://10.175.1.14:8090/controller/#/location=APP_BT_DETAIL&amp;timeRange=Custom_Time_Range.BETWEEN_TIMES.1645423200000.1645419600000.60&amp;application=12&amp;businessTransaction=214&amp;dashboardMode=force</t>
  </si>
  <si>
    <t>/inet/corporate</t>
  </si>
  <si>
    <t>http://10.175.1.14:8090/controller/#/location=APP_BT_DETAIL&amp;timeRange=Custom_Time_Range.BETWEEN_TIMES.1645423200000.1645419600000.60&amp;application=12&amp;businessTransaction=213&amp;dashboardMode=force</t>
  </si>
  <si>
    <t>/inet/dy</t>
  </si>
  <si>
    <t>http://10.175.1.14:8090/controller/#/location=APP_BT_DETAIL&amp;timeRange=Custom_Time_Range.BETWEEN_TIMES.1645423200000.1645419600000.60&amp;application=12&amp;businessTransaction=155&amp;dashboardMode=force</t>
  </si>
  <si>
    <t>/inet/EshopSimulator.jsp</t>
  </si>
  <si>
    <t>http://10.175.1.14:8090/controller/#/location=APP_BT_DETAIL&amp;timeRange=Custom_Time_Range.BETWEEN_TIMES.1645423200000.1645419600000.60&amp;application=12&amp;businessTransaction=222&amp;dashboardMode=force</t>
  </si>
  <si>
    <t>/inet/idpw</t>
  </si>
  <si>
    <t>http://10.175.1.14:8090/controller/#/location=APP_BT_DETAIL&amp;timeRange=Custom_Time_Range.BETWEEN_TIMES.1645423200000.1645419600000.60&amp;application=12&amp;businessTransaction=156&amp;dashboardMode=force</t>
  </si>
  <si>
    <t>/inet/life</t>
  </si>
  <si>
    <t>http://10.175.1.14:8090/controller/#/location=APP_BT_DETAIL&amp;timeRange=Custom_Time_Range.BETWEEN_TIMES.1645423200000.1645419600000.60&amp;application=12&amp;businessTransaction=106&amp;dashboardMode=force</t>
  </si>
  <si>
    <t>/inet/ni</t>
  </si>
  <si>
    <t>http://10.175.1.14:8090/controller/#/location=APP_BT_DETAIL&amp;timeRange=Custom_Time_Range.BETWEEN_TIMES.1645423200000.1645419600000.60&amp;application=12&amp;businessTransaction=167&amp;dashboardMode=force</t>
  </si>
  <si>
    <t>/inet/nyukai</t>
  </si>
  <si>
    <t>http://10.175.1.14:8090/controller/#/location=APP_BT_DETAIL&amp;timeRange=Custom_Time_Range.BETWEEN_TIMES.1645423200000.1645419600000.60&amp;application=12&amp;businessTransaction=212&amp;dashboardMode=force</t>
  </si>
  <si>
    <t>/inet/online</t>
  </si>
  <si>
    <t>http://10.175.1.14:8090/controller/#/location=APP_BT_DETAIL&amp;timeRange=Custom_Time_Range.BETWEEN_TIMES.1645423200000.1645419600000.60&amp;application=12&amp;businessTransaction=159&amp;dashboardMode=force</t>
  </si>
  <si>
    <t>/inet/postac</t>
  </si>
  <si>
    <t>http://10.175.1.14:8090/controller/#/location=APP_BT_DETAIL&amp;timeRange=Custom_Time_Range.BETWEEN_TIMES.1645423200000.1645419600000.60&amp;application=12&amp;businessTransaction=164&amp;dashboardMode=force</t>
  </si>
  <si>
    <t>/inet/rwd</t>
  </si>
  <si>
    <t>http://10.175.1.14:8090/controller/#/location=APP_BT_DETAIL&amp;timeRange=Custom_Time_Range.BETWEEN_TIMES.1645423200000.1645419600000.60&amp;application=12&amp;businessTransaction=216&amp;dashboardMode=force</t>
  </si>
  <si>
    <t>/inet/seamless</t>
  </si>
  <si>
    <t>http://10.175.1.14:8090/controller/#/location=APP_BT_DETAIL&amp;timeRange=Custom_Time_Range.BETWEEN_TIMES.1645423200000.1645419600000.60&amp;application=12&amp;businessTransaction=218&amp;dashboardMode=force</t>
  </si>
  <si>
    <t>/inet/shiryoseikyu</t>
  </si>
  <si>
    <t>http://10.175.1.14:8090/controller/#/location=APP_BT_DETAIL&amp;timeRange=Custom_Time_Range.BETWEEN_TIMES.1645423200000.1645419600000.60&amp;application=12&amp;businessTransaction=165&amp;dashboardMode=force</t>
  </si>
  <si>
    <t>/inet/siryo</t>
  </si>
  <si>
    <t>http://10.175.1.14:8090/controller/#/location=APP_BT_DETAIL&amp;timeRange=Custom_Time_Range.BETWEEN_TIMES.1645423200000.1645419600000.60&amp;application=12&amp;businessTransaction=163&amp;dashboardMode=force</t>
  </si>
  <si>
    <t>/inet/toto</t>
  </si>
  <si>
    <t>http://10.175.1.14:8090/controller/#/location=APP_BT_DETAIL&amp;timeRange=Custom_Time_Range.BETWEEN_TIMES.1645423200000.1645419600000.60&amp;application=12&amp;businessTransaction=161&amp;dashboardMode=force</t>
  </si>
  <si>
    <t>/inet/TotoSimulator.jsp</t>
  </si>
  <si>
    <t>http://10.175.1.14:8090/controller/#/location=APP_BT_DETAIL&amp;timeRange=Custom_Time_Range.BETWEEN_TIMES.1645423200000.1645419600000.60&amp;application=12&amp;businessTransaction=162&amp;dashboardMode=force</t>
  </si>
  <si>
    <t>/intruvert/jsp</t>
  </si>
  <si>
    <t>http://10.175.1.14:8090/controller/#/location=APP_BT_DETAIL&amp;timeRange=Custom_Time_Range.BETWEEN_TIMES.1645423200000.1645419600000.60&amp;application=12&amp;businessTransaction=439&amp;dashboardMode=force</t>
  </si>
  <si>
    <t>/IPJSETTLEMENT</t>
  </si>
  <si>
    <t>http://10.175.1.14:8090/controller/#/location=APP_BT_DETAIL&amp;timeRange=Custom_Time_Range.BETWEEN_TIMES.1645423200000.1645419600000.60&amp;application=12&amp;businessTransaction=176&amp;dashboardMode=force</t>
  </si>
  <si>
    <t>http://10.175.1.14:8090/controller/#/location=APP_BT_DETAIL&amp;timeRange=Custom_Time_Range.BETWEEN_TIMES.1645423200000.1645419600000.60&amp;application=12&amp;businessTransaction=260&amp;dashboardMode=force</t>
  </si>
  <si>
    <t>http://10.175.1.14:8090/controller/#/location=APP_BT_DETAIL&amp;timeRange=Custom_Time_Range.BETWEEN_TIMES.1645423200000.1645419600000.60&amp;application=12&amp;businessTransaction=100&amp;dashboardMode=force</t>
  </si>
  <si>
    <t>http://10.175.1.14:8090/controller/#/location=APP_BT_DETAIL&amp;timeRange=Custom_Time_Range.BETWEEN_TIMES.1645423200000.1645419600000.60&amp;application=12&amp;businessTransaction=706&amp;dashboardMode=force</t>
  </si>
  <si>
    <t>/JConnect/acsserver</t>
  </si>
  <si>
    <t>http://10.175.1.14:8090/controller/#/location=APP_BT_DETAIL&amp;timeRange=Custom_Time_Range.BETWEEN_TIMES.1645423200000.1645419600000.60&amp;application=12&amp;businessTransaction=177&amp;dashboardMode=force</t>
  </si>
  <si>
    <t>http://10.175.1.14:8090/controller/#/location=APP_BT_DETAIL&amp;timeRange=Custom_Time_Range.BETWEEN_TIMES.1645423200000.1645419600000.60&amp;application=12&amp;businessTransaction=263&amp;dashboardMode=force</t>
  </si>
  <si>
    <t>/login.html</t>
  </si>
  <si>
    <t>http://10.175.1.14:8090/controller/#/location=APP_BT_DETAIL&amp;timeRange=Custom_Time_Range.BETWEEN_TIMES.1645423200000.1645419600000.60&amp;application=12&amp;businessTransaction=442&amp;dashboardMode=force</t>
  </si>
  <si>
    <t>/management/weblogic</t>
  </si>
  <si>
    <t>http://10.175.1.14:8090/controller/#/location=APP_BT_DETAIL&amp;timeRange=Custom_Time_Range.BETWEEN_TIMES.1645423200000.1645419600000.60&amp;application=12&amp;businessTransaction=137&amp;dashboardMode=force</t>
  </si>
  <si>
    <t>http://10.175.1.14:8090/controller/#/location=APP_BT_DETAIL&amp;timeRange=Custom_Time_Range.BETWEEN_TIMES.1645423200000.1645419600000.60&amp;application=12&amp;businessTransaction=107&amp;dashboardMode=force</t>
  </si>
  <si>
    <t>http://10.175.1.14:8090/controller/#/location=APP_BT_DETAIL&amp;timeRange=Custom_Time_Range.BETWEEN_TIMES.1645423200000.1645419600000.60&amp;application=12&amp;businessTransaction=229&amp;dashboardMode=force</t>
  </si>
  <si>
    <t>http://10.175.1.14:8090/controller/#/location=APP_BT_DETAIL&amp;timeRange=Custom_Time_Range.BETWEEN_TIMES.1645423200000.1645419600000.60&amp;application=12&amp;businessTransaction=233&amp;dashboardMode=force</t>
  </si>
  <si>
    <t>http://10.175.1.14:8090/controller/#/location=APP_BT_DETAIL&amp;timeRange=Custom_Time_Range.BETWEEN_TIMES.1645423200000.1645419600000.60&amp;application=12&amp;businessTransaction=145&amp;dashboardMode=force</t>
  </si>
  <si>
    <t>http://10.175.1.14:8090/controller/#/location=APP_BT_DETAIL&amp;timeRange=Custom_Time_Range.BETWEEN_TIMES.1645423200000.1645419600000.60&amp;application=12&amp;businessTransaction=195&amp;dashboardMode=force</t>
  </si>
  <si>
    <t>http://10.175.1.14:8090/controller/#/location=APP_BT_DETAIL&amp;timeRange=Custom_Time_Range.BETWEEN_TIMES.1645423200000.1645419600000.60&amp;application=12&amp;businessTransaction=196&amp;dashboardMode=force</t>
  </si>
  <si>
    <t>/master/management</t>
  </si>
  <si>
    <t>http://10.175.1.14:8090/controller/#/location=APP_BT_DETAIL&amp;timeRange=Custom_Time_Range.BETWEEN_TIMES.1645423200000.1645419600000.60&amp;application=12&amp;businessTransaction=173&amp;dashboardMode=force</t>
  </si>
  <si>
    <t>/modules/</t>
  </si>
  <si>
    <t>http://10.175.1.14:8090/controller/#/location=APP_BT_DETAIL&amp;timeRange=Custom_Time_Range.BETWEEN_TIMES.1645423200000.1645419600000.60&amp;application=12&amp;businessTransaction=776&amp;dashboardMode=force</t>
  </si>
  <si>
    <t>/net/</t>
  </si>
  <si>
    <t>http://10.175.1.14:8090/controller/#/location=APP_BT_DETAIL&amp;timeRange=Custom_Time_Range.BETWEEN_TIMES.1645423200000.1645419600000.60&amp;application=12&amp;businessTransaction=772&amp;dashboardMode=force</t>
  </si>
  <si>
    <t>http://10.175.1.14:8090/controller/#/location=APP_BT_DETAIL&amp;timeRange=Custom_Time_Range.BETWEEN_TIMES.1645423200000.1645419600000.60&amp;application=12&amp;businessTransaction=783&amp;dashboardMode=force</t>
  </si>
  <si>
    <t>http://10.175.1.14:8090/controller/#/location=APP_BT_DETAIL&amp;timeRange=Custom_Time_Range.BETWEEN_TIMES.1645423200000.1645419600000.60&amp;application=12&amp;businessTransaction=785&amp;dashboardMode=force</t>
  </si>
  <si>
    <t>/net/nyukai</t>
  </si>
  <si>
    <t>http://10.175.1.14:8090/controller/#/location=APP_BT_DETAIL&amp;timeRange=Custom_Time_Range.BETWEEN_TIMES.1645423200000.1645419600000.60&amp;application=12&amp;businessTransaction=209&amp;dashboardMode=force</t>
  </si>
  <si>
    <t>/net/online</t>
  </si>
  <si>
    <t>http://10.175.1.14:8090/controller/#/location=APP_BT_DETAIL&amp;timeRange=Custom_Time_Range.BETWEEN_TIMES.1645423200000.1645419600000.60&amp;application=12&amp;businessTransaction=424&amp;dashboardMode=force</t>
  </si>
  <si>
    <t>/newsplus</t>
  </si>
  <si>
    <t>http://10.175.1.14:8090/controller/#/location=APP_BT_DETAIL&amp;timeRange=Custom_Time_Range.BETWEEN_TIMES.1645423200000.1645419600000.60&amp;application=12&amp;businessTransaction=434&amp;dashboardMode=force</t>
  </si>
  <si>
    <t>/newsplus/</t>
  </si>
  <si>
    <t>http://10.175.1.14:8090/controller/#/location=APP_BT_DETAIL&amp;timeRange=Custom_Time_Range.BETWEEN_TIMES.1645423200000.1645419600000.60&amp;application=12&amp;businessTransaction=92&amp;dashboardMode=force</t>
  </si>
  <si>
    <t>http://10.175.1.14:8090/controller/#/location=APP_BT_DETAIL&amp;timeRange=Custom_Time_Range.BETWEEN_TIMES.1645423200000.1645419600000.60&amp;application=12&amp;businessTransaction=712&amp;dashboardMode=force</t>
  </si>
  <si>
    <t>/newsplus/about.html</t>
  </si>
  <si>
    <t>http://10.175.1.14:8090/controller/#/location=APP_BT_DETAIL&amp;timeRange=Custom_Time_Range.BETWEEN_TIMES.1645423200000.1645419600000.60&amp;application=12&amp;businessTransaction=253&amp;dashboardMode=force</t>
  </si>
  <si>
    <t>/newsplus/alliance.html</t>
  </si>
  <si>
    <t>http://10.175.1.14:8090/controller/#/location=APP_BT_DETAIL&amp;timeRange=Custom_Time_Range.BETWEEN_TIMES.1645423200000.1645419600000.60&amp;application=12&amp;businessTransaction=247&amp;dashboardMode=force</t>
  </si>
  <si>
    <t>/newsplus/amex</t>
  </si>
  <si>
    <t>http://10.175.1.14:8090/controller/#/location=APP_BT_DETAIL&amp;timeRange=Custom_Time_Range.BETWEEN_TIMES.1645423200000.1645419600000.60&amp;application=12&amp;businessTransaction=295&amp;dashboardMode=force</t>
  </si>
  <si>
    <t>/newsplus/brandselect.html</t>
  </si>
  <si>
    <t>http://10.175.1.14:8090/controller/#/location=APP_BT_DETAIL&amp;timeRange=Custom_Time_Range.BETWEEN_TIMES.1645423200000.1645419600000.60&amp;application=12&amp;businessTransaction=264&amp;dashboardMode=force</t>
  </si>
  <si>
    <t>http://10.175.1.14:8090/controller/#/location=APP_BT_DETAIL&amp;timeRange=Custom_Time_Range.BETWEEN_TIMES.1645423200000.1645419600000.60&amp;application=12&amp;businessTransaction=895&amp;dashboardMode=force</t>
  </si>
  <si>
    <t>/newsplus/campaign</t>
  </si>
  <si>
    <t>http://10.175.1.14:8090/controller/#/location=APP_BT_DETAIL&amp;timeRange=Custom_Time_Range.BETWEEN_TIMES.1645423200000.1645419600000.60&amp;application=12&amp;businessTransaction=117&amp;dashboardMode=force</t>
  </si>
  <si>
    <t>http://10.175.1.14:8090/controller/#/location=APP_BT_DETAIL&amp;timeRange=Custom_Time_Range.BETWEEN_TIMES.1645423200000.1645419600000.60&amp;application=12&amp;businessTransaction=904&amp;dashboardMode=force</t>
  </si>
  <si>
    <t>/newsplus/campaign.html</t>
  </si>
  <si>
    <t>http://10.175.1.14:8090/controller/#/location=APP_BT_DETAIL&amp;timeRange=Custom_Time_Range.BETWEEN_TIMES.1645423200000.1645419600000.60&amp;application=12&amp;businessTransaction=274&amp;dashboardMode=force</t>
  </si>
  <si>
    <t>http://10.175.1.14:8090/controller/#/location=APP_BT_DETAIL&amp;timeRange=Custom_Time_Range.BETWEEN_TIMES.1645423200000.1645419600000.60&amp;application=12&amp;businessTransaction=906&amp;dashboardMode=force</t>
  </si>
  <si>
    <t>/newsplus/campaign_coupon_completed.html</t>
  </si>
  <si>
    <t>http://10.175.1.14:8090/controller/#/location=APP_BT_DETAIL&amp;timeRange=Custom_Time_Range.BETWEEN_TIMES.1645423200000.1645419600000.60&amp;application=12&amp;businessTransaction=299&amp;dashboardMode=force</t>
  </si>
  <si>
    <t>/newsplus/common_err</t>
  </si>
  <si>
    <t>http://10.175.1.14:8090/controller/#/location=APP_BT_DETAIL&amp;timeRange=Custom_Time_Range.BETWEEN_TIMES.1645423200000.1645419600000.60&amp;application=12&amp;businessTransaction=395&amp;dashboardMode=force</t>
  </si>
  <si>
    <t>/newsplus/coupon</t>
  </si>
  <si>
    <t>http://10.175.1.14:8090/controller/#/location=APP_BT_DETAIL&amp;timeRange=Custom_Time_Range.BETWEEN_TIMES.1645423200000.1645419600000.60&amp;application=12&amp;businessTransaction=262&amp;dashboardMode=force</t>
  </si>
  <si>
    <t>http://10.175.1.14:8090/controller/#/location=APP_BT_DETAIL&amp;timeRange=Custom_Time_Range.BETWEEN_TIMES.1645423200000.1645419600000.60&amp;application=12&amp;businessTransaction=907&amp;dashboardMode=force</t>
  </si>
  <si>
    <t>/newsplus/ecshop</t>
  </si>
  <si>
    <t>http://10.175.1.14:8090/controller/#/location=APP_BT_DETAIL&amp;timeRange=Custom_Time_Range.BETWEEN_TIMES.1645423200000.1645419600000.60&amp;application=12&amp;businessTransaction=119&amp;dashboardMode=force</t>
  </si>
  <si>
    <t>http://10.175.1.14:8090/controller/#/location=APP_BT_DETAIL&amp;timeRange=Custom_Time_Range.BETWEEN_TIMES.1645423200000.1645419600000.60&amp;application=12&amp;businessTransaction=905&amp;dashboardMode=force</t>
  </si>
  <si>
    <t>/newsplus/ecshop.html</t>
  </si>
  <si>
    <t>http://10.175.1.14:8090/controller/#/location=APP_BT_DETAIL&amp;timeRange=Custom_Time_Range.BETWEEN_TIMES.1645423200000.1645419600000.60&amp;application=12&amp;businessTransaction=430&amp;dashboardMode=force</t>
  </si>
  <si>
    <t>/newsplus/error.html</t>
  </si>
  <si>
    <t>http://10.175.1.14:8090/controller/#/location=APP_BT_DETAIL&amp;timeRange=Custom_Time_Range.BETWEEN_TIMES.1645423200000.1645419600000.60&amp;application=12&amp;businessTransaction=194&amp;dashboardMode=force</t>
  </si>
  <si>
    <t>http://10.175.1.14:8090/controller/#/location=APP_BT_DETAIL&amp;timeRange=Custom_Time_Range.BETWEEN_TIMES.1645423200000.1645419600000.60&amp;application=12&amp;businessTransaction=724&amp;dashboardMode=force</t>
  </si>
  <si>
    <t>/newsplus/error_message.php</t>
  </si>
  <si>
    <t>http://10.175.1.14:8090/controller/#/location=APP_BT_DETAIL&amp;timeRange=Custom_Time_Range.BETWEEN_TIMES.1645423200000.1645419600000.60&amp;application=12&amp;businessTransaction=272&amp;dashboardMode=force</t>
  </si>
  <si>
    <t>http://10.175.1.14:8090/controller/#/location=APP_BT_DETAIL&amp;timeRange=Custom_Time_Range.BETWEEN_TIMES.1645423200000.1645419600000.60&amp;application=12&amp;businessTransaction=925&amp;dashboardMode=force</t>
  </si>
  <si>
    <t>/newsplus/health_check.php</t>
  </si>
  <si>
    <t>http://10.175.1.14:8090/controller/#/location=APP_BT_DETAIL&amp;timeRange=Custom_Time_Range.BETWEEN_TIMES.1645423200000.1645419600000.60&amp;application=12&amp;businessTransaction=245&amp;dashboardMode=force</t>
  </si>
  <si>
    <t>http://10.175.1.14:8090/controller/#/location=APP_BT_DETAIL&amp;timeRange=Custom_Time_Range.BETWEEN_TIMES.1645423200000.1645419600000.60&amp;application=12&amp;businessTransaction=687&amp;dashboardMode=force</t>
  </si>
  <si>
    <t>/newsplus/image</t>
  </si>
  <si>
    <t>http://10.175.1.14:8090/controller/#/location=APP_BT_DETAIL&amp;timeRange=Custom_Time_Range.BETWEEN_TIMES.1645423200000.1645419600000.60&amp;application=12&amp;businessTransaction=408&amp;dashboardMode=force</t>
  </si>
  <si>
    <t>http://10.175.1.14:8090/controller/#/location=APP_BT_DETAIL&amp;timeRange=Custom_Time_Range.BETWEEN_TIMES.1645423200000.1645419600000.60&amp;application=12&amp;businessTransaction=898&amp;dashboardMode=force</t>
  </si>
  <si>
    <t>/newsplus/index.html</t>
  </si>
  <si>
    <t>http://10.175.1.14:8090/controller/#/location=APP_BT_DETAIL&amp;timeRange=Custom_Time_Range.BETWEEN_TIMES.1645423200000.1645419600000.60&amp;application=12&amp;businessTransaction=112&amp;dashboardMode=force</t>
  </si>
  <si>
    <t>http://10.175.1.14:8090/controller/#/location=APP_BT_DETAIL&amp;timeRange=Custom_Time_Range.BETWEEN_TIMES.1645423200000.1645419600000.60&amp;application=12&amp;businessTransaction=768&amp;dashboardMode=force</t>
  </si>
  <si>
    <t>/newsplus/jra</t>
  </si>
  <si>
    <t>http://10.175.1.14:8090/controller/#/location=APP_BT_DETAIL&amp;timeRange=Custom_Time_Range.BETWEEN_TIMES.1645423200000.1645419600000.60&amp;application=12&amp;businessTransaction=271&amp;dashboardMode=force</t>
  </si>
  <si>
    <t>/newsplus/jra_send_stub.php</t>
  </si>
  <si>
    <t>http://10.175.1.14:8090/controller/#/location=APP_BT_DETAIL&amp;timeRange=Custom_Time_Range.BETWEEN_TIMES.1645423200000.1645419600000.60&amp;application=12&amp;businessTransaction=246&amp;dashboardMode=force</t>
  </si>
  <si>
    <t>/newsplus/leisure</t>
  </si>
  <si>
    <t>http://10.175.1.14:8090/controller/#/location=APP_BT_DETAIL&amp;timeRange=Custom_Time_Range.BETWEEN_TIMES.1645423200000.1645419600000.60&amp;application=12&amp;businessTransaction=122&amp;dashboardMode=force</t>
  </si>
  <si>
    <t>http://10.175.1.14:8090/controller/#/location=APP_BT_DETAIL&amp;timeRange=Custom_Time_Range.BETWEEN_TIMES.1645423200000.1645419600000.60&amp;application=12&amp;businessTransaction=903&amp;dashboardMode=force</t>
  </si>
  <si>
    <t>/newsplus/leisure.html</t>
  </si>
  <si>
    <t>http://10.175.1.14:8090/controller/#/location=APP_BT_DETAIL&amp;timeRange=Custom_Time_Range.BETWEEN_TIMES.1645423200000.1645419600000.60&amp;application=12&amp;businessTransaction=358&amp;dashboardMode=force</t>
  </si>
  <si>
    <t>http://10.175.1.14:8090/controller/#/location=APP_BT_DETAIL&amp;timeRange=Custom_Time_Range.BETWEEN_TIMES.1645423200000.1645419600000.60&amp;application=12&amp;businessTransaction=894&amp;dashboardMode=force</t>
  </si>
  <si>
    <t>/newsplus/library</t>
  </si>
  <si>
    <t>http://10.175.1.14:8090/controller/#/location=APP_BT_DETAIL&amp;timeRange=Custom_Time_Range.BETWEEN_TIMES.1645423200000.1645419600000.60&amp;application=12&amp;businessTransaction=192&amp;dashboardMode=force</t>
  </si>
  <si>
    <t>http://10.175.1.14:8090/controller/#/location=APP_BT_DETAIL&amp;timeRange=Custom_Time_Range.BETWEEN_TIMES.1645423200000.1645419600000.60&amp;application=12&amp;businessTransaction=689&amp;dashboardMode=force</t>
  </si>
  <si>
    <t>/newsplus/login.html</t>
  </si>
  <si>
    <t>http://10.175.1.14:8090/controller/#/location=APP_BT_DETAIL&amp;timeRange=Custom_Time_Range.BETWEEN_TIMES.1645423200000.1645419600000.60&amp;application=12&amp;businessTransaction=301&amp;dashboardMode=force</t>
  </si>
  <si>
    <t>http://10.175.1.14:8090/controller/#/location=APP_BT_DETAIL&amp;timeRange=Custom_Time_Range.BETWEEN_TIMES.1645423200000.1645419600000.60&amp;application=12&amp;businessTransaction=896&amp;dashboardMode=force</t>
  </si>
  <si>
    <t>/newsplus/loginaction.html</t>
  </si>
  <si>
    <t>http://10.175.1.14:8090/controller/#/location=APP_BT_DETAIL&amp;timeRange=Custom_Time_Range.BETWEEN_TIMES.1645423200000.1645419600000.60&amp;application=12&amp;businessTransaction=179&amp;dashboardMode=force</t>
  </si>
  <si>
    <t>http://10.175.1.14:8090/controller/#/location=APP_BT_DETAIL&amp;timeRange=Custom_Time_Range.BETWEEN_TIMES.1645423200000.1645419600000.60&amp;application=12&amp;businessTransaction=691&amp;dashboardMode=force</t>
  </si>
  <si>
    <t>/newsplus/logout.html</t>
  </si>
  <si>
    <t>http://10.175.1.14:8090/controller/#/location=APP_BT_DETAIL&amp;timeRange=Custom_Time_Range.BETWEEN_TIMES.1645423200000.1645419600000.60&amp;application=12&amp;businessTransaction=258&amp;dashboardMode=force</t>
  </si>
  <si>
    <t>http://10.175.1.14:8090/controller/#/location=APP_BT_DETAIL&amp;timeRange=Custom_Time_Range.BETWEEN_TIMES.1645423200000.1645419600000.60&amp;application=12&amp;businessTransaction=719&amp;dashboardMode=force</t>
  </si>
  <si>
    <t>/newsplus/mypage.html</t>
  </si>
  <si>
    <t>http://10.175.1.14:8090/controller/#/location=APP_BT_DETAIL&amp;timeRange=Custom_Time_Range.BETWEEN_TIMES.1645423200000.1645419600000.60&amp;application=12&amp;businessTransaction=397&amp;dashboardMode=force</t>
  </si>
  <si>
    <t>/newsplus/page_preview</t>
  </si>
  <si>
    <t>http://10.175.1.14:8090/controller/#/location=APP_BT_DETAIL&amp;timeRange=Custom_Time_Range.BETWEEN_TIMES.1645423200000.1645419600000.60&amp;application=12&amp;businessTransaction=325&amp;dashboardMode=force</t>
  </si>
  <si>
    <t>/newsplus/pointmeijin</t>
  </si>
  <si>
    <t>http://10.175.1.14:8090/controller/#/location=APP_BT_DETAIL&amp;timeRange=Custom_Time_Range.BETWEEN_TIMES.1645423200000.1645419600000.60&amp;application=12&amp;businessTransaction=380&amp;dashboardMode=force</t>
  </si>
  <si>
    <t>/newsplus/reset.php</t>
  </si>
  <si>
    <t>http://10.175.1.14:8090/controller/#/location=APP_BT_DETAIL&amp;timeRange=Custom_Time_Range.BETWEEN_TIMES.1645423200000.1645419600000.60&amp;application=12&amp;businessTransaction=289&amp;dashboardMode=force</t>
  </si>
  <si>
    <t>/newsplus/reset_cache.php</t>
  </si>
  <si>
    <t>http://10.175.1.14:8090/controller/#/location=APP_BT_DETAIL&amp;timeRange=Custom_Time_Range.BETWEEN_TIMES.1645423200000.1645419600000.60&amp;application=12&amp;businessTransaction=181&amp;dashboardMode=force</t>
  </si>
  <si>
    <t>http://10.175.1.14:8090/controller/#/location=APP_BT_DETAIL&amp;timeRange=Custom_Time_Range.BETWEEN_TIMES.1645423200000.1645419600000.60&amp;application=12&amp;businessTransaction=721&amp;dashboardMode=force</t>
  </si>
  <si>
    <t>/newsplus/reset_css.php</t>
  </si>
  <si>
    <t>http://10.175.1.14:8090/controller/#/location=APP_BT_DETAIL&amp;timeRange=Custom_Time_Range.BETWEEN_TIMES.1645423200000.1645419600000.60&amp;application=12&amp;businessTransaction=280&amp;dashboardMode=force</t>
  </si>
  <si>
    <t>/newsplus/reset_date.php</t>
  </si>
  <si>
    <t>http://10.175.1.14:8090/controller/#/location=APP_BT_DETAIL&amp;timeRange=Custom_Time_Range.BETWEEN_TIMES.1645423200000.1645419600000.60&amp;application=12&amp;businessTransaction=231&amp;dashboardMode=force</t>
  </si>
  <si>
    <t>http://10.175.1.14:8090/controller/#/location=APP_BT_DETAIL&amp;timeRange=Custom_Time_Range.BETWEEN_TIMES.1645423200000.1645419600000.60&amp;application=12&amp;businessTransaction=722&amp;dashboardMode=force</t>
  </si>
  <si>
    <t>/newsplus/reset_library.php</t>
  </si>
  <si>
    <t>http://10.175.1.14:8090/controller/#/location=APP_BT_DETAIL&amp;timeRange=Custom_Time_Range.BETWEEN_TIMES.1645423200000.1645419600000.60&amp;application=12&amp;businessTransaction=248&amp;dashboardMode=force</t>
  </si>
  <si>
    <t>/newsplus/reset_plugin.php</t>
  </si>
  <si>
    <t>http://10.175.1.14:8090/controller/#/location=APP_BT_DETAIL&amp;timeRange=Custom_Time_Range.BETWEEN_TIMES.1645423200000.1645419600000.60&amp;application=12&amp;businessTransaction=284&amp;dashboardMode=force</t>
  </si>
  <si>
    <t>/newsplus/reset_redirectmap.php</t>
  </si>
  <si>
    <t>http://10.175.1.14:8090/controller/#/location=APP_BT_DETAIL&amp;timeRange=Custom_Time_Range.BETWEEN_TIMES.1645423200000.1645419600000.60&amp;application=12&amp;businessTransaction=285&amp;dashboardMode=force</t>
  </si>
  <si>
    <t>/newsplus/reset_rss.php</t>
  </si>
  <si>
    <t>http://10.175.1.14:8090/controller/#/location=APP_BT_DETAIL&amp;timeRange=Custom_Time_Range.BETWEEN_TIMES.1645423200000.1645419600000.60&amp;application=12&amp;businessTransaction=287&amp;dashboardMode=force</t>
  </si>
  <si>
    <t>/newsplus/reset_template.php</t>
  </si>
  <si>
    <t>http://10.175.1.14:8090/controller/#/location=APP_BT_DETAIL&amp;timeRange=Custom_Time_Range.BETWEEN_TIMES.1645423200000.1645419600000.60&amp;application=12&amp;businessTransaction=288&amp;dashboardMode=force</t>
  </si>
  <si>
    <t>/newsplus/rwd</t>
  </si>
  <si>
    <t>http://10.175.1.14:8090/controller/#/location=APP_BT_DETAIL&amp;timeRange=Custom_Time_Range.BETWEEN_TIMES.1645423200000.1645419600000.60&amp;application=12&amp;businessTransaction=407&amp;dashboardMode=force</t>
  </si>
  <si>
    <t>http://10.175.1.14:8090/controller/#/location=APP_BT_DETAIL&amp;timeRange=Custom_Time_Range.BETWEEN_TIMES.1645423200000.1645419600000.60&amp;application=12&amp;businessTransaction=899&amp;dashboardMode=force</t>
  </si>
  <si>
    <t>/newsplus/sample</t>
  </si>
  <si>
    <t>http://10.175.1.14:8090/controller/#/location=APP_BT_DETAIL&amp;timeRange=Custom_Time_Range.BETWEEN_TIMES.1645423200000.1645419600000.60&amp;application=12&amp;businessTransaction=348&amp;dashboardMode=force</t>
  </si>
  <si>
    <t>/newsplus/seamless</t>
  </si>
  <si>
    <t>http://10.175.1.14:8090/controller/#/location=APP_BT_DETAIL&amp;timeRange=Custom_Time_Range.BETWEEN_TIMES.1645423200000.1645419600000.60&amp;application=12&amp;businessTransaction=249&amp;dashboardMode=force</t>
  </si>
  <si>
    <t>/newsplus/seamless_login.html</t>
  </si>
  <si>
    <t>http://10.175.1.14:8090/controller/#/location=APP_BT_DETAIL&amp;timeRange=Custom_Time_Range.BETWEEN_TIMES.1645423200000.1645419600000.60&amp;application=12&amp;businessTransaction=294&amp;dashboardMode=force</t>
  </si>
  <si>
    <t>http://10.175.1.14:8090/controller/#/location=APP_BT_DETAIL&amp;timeRange=Custom_Time_Range.BETWEEN_TIMES.1645423200000.1645419600000.60&amp;application=12&amp;businessTransaction=723&amp;dashboardMode=force</t>
  </si>
  <si>
    <t>/newsplus/shop</t>
  </si>
  <si>
    <t>http://10.175.1.14:8090/controller/#/location=APP_BT_DETAIL&amp;timeRange=Custom_Time_Range.BETWEEN_TIMES.1645423200000.1645419600000.60&amp;application=12&amp;businessTransaction=121&amp;dashboardMode=force</t>
  </si>
  <si>
    <t>http://10.175.1.14:8090/controller/#/location=APP_BT_DETAIL&amp;timeRange=Custom_Time_Range.BETWEEN_TIMES.1645423200000.1645419600000.60&amp;application=12&amp;businessTransaction=902&amp;dashboardMode=force</t>
  </si>
  <si>
    <t>/newsplus/shop.html</t>
  </si>
  <si>
    <t>http://10.175.1.14:8090/controller/#/location=APP_BT_DETAIL&amp;timeRange=Custom_Time_Range.BETWEEN_TIMES.1645423200000.1645419600000.60&amp;application=12&amp;businessTransaction=252&amp;dashboardMode=force</t>
  </si>
  <si>
    <t>/newsplus/shopsearch_result.html</t>
  </si>
  <si>
    <t>http://10.175.1.14:8090/controller/#/location=APP_BT_DETAIL&amp;timeRange=Custom_Time_Range.BETWEEN_TIMES.1645423200000.1645419600000.60&amp;application=12&amp;businessTransaction=291&amp;dashboardMode=force</t>
  </si>
  <si>
    <t>/newsplus/syncDirectoryDst.php</t>
  </si>
  <si>
    <t>http://10.175.1.14:8090/controller/#/location=APP_BT_DETAIL&amp;timeRange=Custom_Time_Range.BETWEEN_TIMES.1645423200000.1645419600000.60&amp;application=12&amp;businessTransaction=414&amp;dashboardMode=force</t>
  </si>
  <si>
    <t>/newsplus/test.html</t>
  </si>
  <si>
    <t>http://10.175.1.14:8090/controller/#/location=APP_BT_DETAIL&amp;timeRange=Custom_Time_Range.BETWEEN_TIMES.1645423200000.1645419600000.60&amp;application=12&amp;businessTransaction=332&amp;dashboardMode=force</t>
  </si>
  <si>
    <t>/newsplus/tsp_send_stub.php</t>
  </si>
  <si>
    <t>http://10.175.1.14:8090/controller/#/location=APP_BT_DETAIL&amp;timeRange=Custom_Time_Range.BETWEEN_TIMES.1645423200000.1645419600000.60&amp;application=12&amp;businessTransaction=345&amp;dashboardMode=force</t>
  </si>
  <si>
    <t>http://10.175.1.14:8090/controller/#/location=APP_BT_DETAIL&amp;timeRange=Custom_Time_Range.BETWEEN_TIMES.1645423200000.1645419600000.60&amp;application=12&amp;businessTransaction=912&amp;dashboardMode=force</t>
  </si>
  <si>
    <t>/newsplus/var</t>
  </si>
  <si>
    <t>http://10.175.1.14:8090/controller/#/location=APP_BT_DETAIL&amp;timeRange=Custom_Time_Range.BETWEEN_TIMES.1645423200000.1645419600000.60&amp;application=12&amp;businessTransaction=236&amp;dashboardMode=force</t>
  </si>
  <si>
    <t>http://10.175.1.14:8090/controller/#/location=APP_BT_DETAIL&amp;timeRange=Custom_Time_Range.BETWEEN_TIMES.1645423200000.1645419600000.60&amp;application=12&amp;businessTransaction=788&amp;dashboardMode=force</t>
  </si>
  <si>
    <t>/newsplus/view.php</t>
  </si>
  <si>
    <t>http://10.175.1.14:8090/controller/#/location=APP_BT_DETAIL&amp;timeRange=Custom_Time_Range.BETWEEN_TIMES.1645423200000.1645419600000.60&amp;application=12&amp;businessTransaction=226&amp;dashboardMode=force</t>
  </si>
  <si>
    <t>/newsplus/view_css.php</t>
  </si>
  <si>
    <t>http://10.175.1.14:8090/controller/#/location=APP_BT_DETAIL&amp;timeRange=Custom_Time_Range.BETWEEN_TIMES.1645423200000.1645419600000.60&amp;application=12&amp;businessTransaction=93&amp;dashboardMode=force</t>
  </si>
  <si>
    <t>http://10.175.1.14:8090/controller/#/location=APP_BT_DETAIL&amp;timeRange=Custom_Time_Range.BETWEEN_TIMES.1645423200000.1645419600000.60&amp;application=12&amp;businessTransaction=716&amp;dashboardMode=force</t>
  </si>
  <si>
    <t>/newsplus/view_interface.php</t>
  </si>
  <si>
    <t>http://10.175.1.14:8090/controller/#/location=APP_BT_DETAIL&amp;timeRange=Custom_Time_Range.BETWEEN_TIMES.1645423200000.1645419600000.60&amp;application=12&amp;businessTransaction=267&amp;dashboardMode=force</t>
  </si>
  <si>
    <t>/newsplus/view_memcached.php</t>
  </si>
  <si>
    <t>http://10.175.1.14:8090/controller/#/location=APP_BT_DETAIL&amp;timeRange=Custom_Time_Range.BETWEEN_TIMES.1645423200000.1645419600000.60&amp;application=12&amp;businessTransaction=88&amp;dashboardMode=force</t>
  </si>
  <si>
    <t>http://10.175.1.14:8090/controller/#/location=APP_BT_DETAIL&amp;timeRange=Custom_Time_Range.BETWEEN_TIMES.1645423200000.1645419600000.60&amp;application=12&amp;businessTransaction=686&amp;dashboardMode=force</t>
  </si>
  <si>
    <t>/ondelay/HealthMonitor</t>
  </si>
  <si>
    <t>http://10.175.1.14:8090/controller/#/location=APP_BT_DETAIL&amp;timeRange=Custom_Time_Range.BETWEEN_TIMES.1645423200000.1645419600000.60&amp;application=12&amp;businessTransaction=228&amp;dashboardMode=force</t>
  </si>
  <si>
    <t>http://10.175.1.14:8090/controller/#/location=APP_BT_DETAIL&amp;timeRange=Custom_Time_Range.BETWEEN_TIMES.1645423200000.1645419600000.60&amp;application=12&amp;businessTransaction=693&amp;dashboardMode=force</t>
  </si>
  <si>
    <t>/ondelay/odcontrol</t>
  </si>
  <si>
    <t>http://10.175.1.14:8090/controller/#/location=APP_BT_DETAIL&amp;timeRange=Custom_Time_Range.BETWEEN_TIMES.1645423200000.1645419600000.60&amp;application=12&amp;businessTransaction=149&amp;dashboardMode=force</t>
  </si>
  <si>
    <t>http://10.175.1.14:8090/controller/#/location=APP_BT_DETAIL&amp;timeRange=Custom_Time_Range.BETWEEN_TIMES.1645423200000.1645419600000.60&amp;application=12&amp;businessTransaction=185&amp;dashboardMode=force</t>
  </si>
  <si>
    <t>http://10.175.1.14:8090/controller/#/location=APP_BT_DETAIL&amp;timeRange=Custom_Time_Range.BETWEEN_TIMES.1645423200000.1645419600000.60&amp;application=12&amp;businessTransaction=714&amp;dashboardMode=force</t>
  </si>
  <si>
    <t>/online/address</t>
  </si>
  <si>
    <t>http://10.175.1.14:8090/controller/#/location=APP_BT_DETAIL&amp;timeRange=Custom_Time_Range.BETWEEN_TIMES.1645423200000.1645419600000.60&amp;application=12&amp;businessTransaction=124&amp;dashboardMode=force</t>
  </si>
  <si>
    <t>/online/bank</t>
  </si>
  <si>
    <t>http://10.175.1.14:8090/controller/#/location=APP_BT_DETAIL&amp;timeRange=Custom_Time_Range.BETWEEN_TIMES.1645423200000.1645419600000.60&amp;application=12&amp;businessTransaction=130&amp;dashboardMode=force</t>
  </si>
  <si>
    <t>/online/bank_btmu.jsp</t>
  </si>
  <si>
    <t>http://10.175.1.14:8090/controller/#/location=APP_BT_DETAIL&amp;timeRange=Custom_Time_Range.BETWEEN_TIMES.1645423200000.1645419600000.60&amp;application=12&amp;businessTransaction=131&amp;dashboardMode=force</t>
  </si>
  <si>
    <t>/online/bank_kfgw.jsp</t>
  </si>
  <si>
    <t>http://10.175.1.14:8090/controller/#/location=APP_BT_DETAIL&amp;timeRange=Custom_Time_Range.BETWEEN_TIMES.1645423200000.1645419600000.60&amp;application=12&amp;businessTransaction=138&amp;dashboardMode=force</t>
  </si>
  <si>
    <t>/online/bank_mhbk.jsp</t>
  </si>
  <si>
    <t>http://10.175.1.14:8090/controller/#/location=APP_BT_DETAIL&amp;timeRange=Custom_Time_Range.BETWEEN_TIMES.1645423200000.1645419600000.60&amp;application=12&amp;businessTransaction=136&amp;dashboardMode=force</t>
  </si>
  <si>
    <t>/online/branch</t>
  </si>
  <si>
    <t>http://10.175.1.14:8090/controller/#/location=APP_BT_DETAIL&amp;timeRange=Custom_Time_Range.BETWEEN_TIMES.1645423200000.1645419600000.60&amp;application=12&amp;businessTransaction=129&amp;dashboardMode=force</t>
  </si>
  <si>
    <t>/online/entry</t>
  </si>
  <si>
    <t>http://10.175.1.14:8090/controller/#/location=APP_BT_DETAIL&amp;timeRange=Custom_Time_Range.BETWEEN_TIMES.1645423200000.1645419600000.60&amp;application=12&amp;businessTransaction=116&amp;dashboardMode=force</t>
  </si>
  <si>
    <t>/online/error</t>
  </si>
  <si>
    <t>http://10.175.1.14:8090/controller/#/location=APP_BT_DETAIL&amp;timeRange=Custom_Time_Range.BETWEEN_TIMES.1645423200000.1645419600000.60&amp;application=12&amp;businessTransaction=123&amp;dashboardMode=force</t>
  </si>
  <si>
    <t>/online/inquiry</t>
  </si>
  <si>
    <t>http://10.175.1.14:8090/controller/#/location=APP_BT_DETAIL&amp;timeRange=Custom_Time_Range.BETWEEN_TIMES.1645423200000.1645419600000.60&amp;application=12&amp;businessTransaction=97&amp;dashboardMode=force</t>
  </si>
  <si>
    <t>/online/test</t>
  </si>
  <si>
    <t>http://10.175.1.14:8090/controller/#/location=APP_BT_DETAIL&amp;timeRange=Custom_Time_Range.BETWEEN_TIMES.1645423200000.1645419600000.60&amp;application=12&amp;businessTransaction=182&amp;dashboardMode=force</t>
  </si>
  <si>
    <t>/remote/article</t>
  </si>
  <si>
    <t>http://10.175.1.14:8090/controller/#/location=APP_BT_DETAIL&amp;timeRange=Custom_Time_Range.BETWEEN_TIMES.1645423200000.1645419600000.60&amp;application=12&amp;businessTransaction=391&amp;dashboardMode=force</t>
  </si>
  <si>
    <t>/remote/articledownload</t>
  </si>
  <si>
    <t>http://10.175.1.14:8090/controller/#/location=APP_BT_DETAIL&amp;timeRange=Custom_Time_Range.BETWEEN_TIMES.1645423200000.1645419600000.60&amp;application=12&amp;businessTransaction=387&amp;dashboardMode=force</t>
  </si>
  <si>
    <t>/remote/backnumber</t>
  </si>
  <si>
    <t>http://10.175.1.14:8090/controller/#/location=APP_BT_DETAIL&amp;timeRange=Custom_Time_Range.BETWEEN_TIMES.1645423200000.1645419600000.60&amp;application=12&amp;businessTransaction=388&amp;dashboardMode=force</t>
  </si>
  <si>
    <t>/remote/download</t>
  </si>
  <si>
    <t>http://10.175.1.14:8090/controller/#/location=APP_BT_DETAIL&amp;timeRange=Custom_Time_Range.BETWEEN_TIMES.1645423200000.1645419600000.60&amp;application=12&amp;businessTransaction=389&amp;dashboardMode=force</t>
  </si>
  <si>
    <t>/remote/error_address_file_download</t>
  </si>
  <si>
    <t>http://10.175.1.14:8090/controller/#/location=APP_BT_DETAIL&amp;timeRange=Custom_Time_Range.BETWEEN_TIMES.1645423200000.1645419600000.60&amp;application=12&amp;businessTransaction=394&amp;dashboardMode=force</t>
  </si>
  <si>
    <t>/remote/error_address_file_export</t>
  </si>
  <si>
    <t>http://10.175.1.14:8090/controller/#/location=APP_BT_DETAIL&amp;timeRange=Custom_Time_Range.BETWEEN_TIMES.1645423200000.1645419600000.60&amp;application=12&amp;businessTransaction=392&amp;dashboardMode=force</t>
  </si>
  <si>
    <t>/remote/error_address_file_export_status</t>
  </si>
  <si>
    <t>http://10.175.1.14:8090/controller/#/location=APP_BT_DETAIL&amp;timeRange=Custom_Time_Range.BETWEEN_TIMES.1645423200000.1645419600000.60&amp;application=12&amp;businessTransaction=393&amp;dashboardMode=force</t>
  </si>
  <si>
    <t>/remote/status</t>
  </si>
  <si>
    <t>http://10.175.1.14:8090/controller/#/location=APP_BT_DETAIL&amp;timeRange=Custom_Time_Range.BETWEEN_TIMES.1645423200000.1645419600000.60&amp;application=12&amp;businessTransaction=319&amp;dashboardMode=force</t>
  </si>
  <si>
    <t>/remote/upload</t>
  </si>
  <si>
    <t>http://10.175.1.14:8090/controller/#/location=APP_BT_DETAIL&amp;timeRange=Custom_Time_Range.BETWEEN_TIMES.1645423200000.1645419600000.60&amp;application=12&amp;businessTransaction=390&amp;dashboardMode=force</t>
  </si>
  <si>
    <t>/servlet/SnoopServlet</t>
  </si>
  <si>
    <t>http://10.175.1.14:8090/controller/#/location=APP_BT_DETAIL&amp;timeRange=Custom_Time_Range.BETWEEN_TIMES.1645423200000.1645419600000.60&amp;application=12&amp;businessTransaction=931&amp;dashboardMode=force</t>
  </si>
  <si>
    <t>/SnoopServlet/</t>
  </si>
  <si>
    <t>http://10.175.1.14:8090/controller/#/location=APP_BT_DETAIL&amp;timeRange=Custom_Time_Range.BETWEEN_TIMES.1645423200000.1645419600000.60&amp;application=12&amp;businessTransaction=928&amp;dashboardMode=force</t>
  </si>
  <si>
    <t>/stub/dummy</t>
  </si>
  <si>
    <t>http://10.175.1.14:8090/controller/#/location=APP_BT_DETAIL&amp;timeRange=Custom_Time_Range.BETWEEN_TIMES.1645423200000.1645419600000.60&amp;application=12&amp;businessTransaction=205&amp;dashboardMode=force</t>
  </si>
  <si>
    <t>/tmui/</t>
  </si>
  <si>
    <t>http://10.175.1.14:8090/controller/#/location=APP_BT_DETAIL&amp;timeRange=Custom_Time_Range.BETWEEN_TIMES.1645423200000.1645419600000.60&amp;application=12&amp;businessTransaction=934&amp;dashboardMode=force</t>
  </si>
  <si>
    <t>/WEB-INF/jsp</t>
  </si>
  <si>
    <t>http://10.175.1.14:8090/controller/#/location=APP_BT_DETAIL&amp;timeRange=Custom_Time_Range.BETWEEN_TIMES.1645423200000.1645419600000.60&amp;application=12&amp;businessTransaction=409&amp;dashboardMode=force</t>
  </si>
  <si>
    <t>http://10.175.1.14:8090/controller/#/location=APP_BT_DETAIL&amp;timeRange=Custom_Time_Range.BETWEEN_TIMES.1645423200000.1645419600000.60&amp;application=12&amp;businessTransaction=793&amp;dashboardMode=force</t>
  </si>
  <si>
    <t>/wins/inet</t>
  </si>
  <si>
    <t>http://10.175.1.14:8090/controller/#/location=APP_BT_DETAIL&amp;timeRange=Custom_Time_Range.BETWEEN_TIMES.1645423200000.1645419600000.60&amp;application=12&amp;businessTransaction=174&amp;dashboardMode=force</t>
  </si>
  <si>
    <t>/wins/inquiry</t>
  </si>
  <si>
    <t>http://10.175.1.14:8090/controller/#/location=APP_BT_DETAIL&amp;timeRange=Custom_Time_Range.BETWEEN_TIMES.1645423200000.1645419600000.60&amp;application=12&amp;businessTransaction=128&amp;dashboardMode=force</t>
  </si>
  <si>
    <t>/wins/login</t>
  </si>
  <si>
    <t>http://10.175.1.14:8090/controller/#/location=APP_BT_DETAIL&amp;timeRange=Custom_Time_Range.BETWEEN_TIMES.1645423200000.1645419600000.60&amp;application=12&amp;businessTransaction=125&amp;dashboardMode=force</t>
  </si>
  <si>
    <t>/wins/password</t>
  </si>
  <si>
    <t>http://10.175.1.14:8090/controller/#/location=APP_BT_DETAIL&amp;timeRange=Custom_Time_Range.BETWEEN_TIMES.1645423200000.1645419600000.60&amp;application=12&amp;businessTransaction=127&amp;dashboardMode=force</t>
  </si>
  <si>
    <t>/wins/request</t>
  </si>
  <si>
    <t>http://10.175.1.14:8090/controller/#/location=APP_BT_DETAIL&amp;timeRange=Custom_Time_Range.BETWEEN_TIMES.1645423200000.1645419600000.60&amp;application=12&amp;businessTransaction=134&amp;dashboardMode=force</t>
  </si>
  <si>
    <t>/wins/reset</t>
  </si>
  <si>
    <t>http://10.175.1.14:8090/controller/#/location=APP_BT_DETAIL&amp;timeRange=Custom_Time_Range.BETWEEN_TIMES.1645423200000.1645419600000.60&amp;application=12&amp;businessTransaction=132&amp;dashboardMode=force</t>
  </si>
  <si>
    <t>/wins/select</t>
  </si>
  <si>
    <t>http://10.175.1.14:8090/controller/#/location=APP_BT_DETAIL&amp;timeRange=Custom_Time_Range.BETWEEN_TIMES.1645423200000.1645419600000.60&amp;application=12&amp;businessTransaction=126&amp;dashboardMode=force</t>
  </si>
  <si>
    <t>/wins/useradd</t>
  </si>
  <si>
    <t>http://10.175.1.14:8090/controller/#/location=APP_BT_DETAIL&amp;timeRange=Custom_Time_Range.BETWEEN_TIMES.1645423200000.1645419600000.60&amp;application=12&amp;businessTransaction=140&amp;dashboardMode=force</t>
  </si>
  <si>
    <t>/wins/userchange</t>
  </si>
  <si>
    <t>http://10.175.1.14:8090/controller/#/location=APP_BT_DETAIL&amp;timeRange=Custom_Time_Range.BETWEEN_TIMES.1645423200000.1645419600000.60&amp;application=12&amp;businessTransaction=142&amp;dashboardMode=force</t>
  </si>
  <si>
    <t>/wins/userdelete</t>
  </si>
  <si>
    <t>http://10.175.1.14:8090/controller/#/location=APP_BT_DETAIL&amp;timeRange=Custom_Time_Range.BETWEEN_TIMES.1645423200000.1645419600000.60&amp;application=12&amp;businessTransaction=152&amp;dashboardMode=force</t>
  </si>
  <si>
    <t>/wins/WEB-INF</t>
  </si>
  <si>
    <t>http://10.175.1.14:8090/controller/#/location=APP_BT_DETAIL&amp;timeRange=Custom_Time_Range.BETWEEN_TIMES.1645423200000.1645419600000.60&amp;application=12&amp;businessTransaction=779&amp;dashboardMode=force</t>
  </si>
  <si>
    <t>_APPDYNAMICS_DEFAULT_TX_</t>
  </si>
  <si>
    <t>OVERFLOW</t>
  </si>
  <si>
    <t>http://10.175.1.14:8090/controller/#/location=APP_BT_DETAIL&amp;timeRange=Custom_Time_Range.BETWEEN_TIMES.1645423200000.1645419600000.60&amp;application=12&amp;businessTransaction=151&amp;dashboardMode=force</t>
  </si>
  <si>
    <t>http://10.175.1.14:8090/controller/#/location=APP_BT_DETAIL&amp;timeRange=Custom_Time_Range.BETWEEN_TIMES.1645423200000.1645419600000.60&amp;application=12&amp;businessTransaction=96&amp;dashboardMode=force</t>
  </si>
  <si>
    <t>http://10.175.1.14:8090/controller/#/location=APP_BT_DETAIL&amp;timeRange=Custom_Time_Range.BETWEEN_TIMES.1645423200000.1645419600000.60&amp;application=12&amp;businessTransaction=282&amp;dashboardMode=force</t>
  </si>
  <si>
    <t>http://10.175.1.14:8090/controller/#/location=APP_BT_DETAIL&amp;timeRange=Custom_Time_Range.BETWEEN_TIMES.1645423200000.1645419600000.60&amp;application=12&amp;businessTransaction=276&amp;dashboardMode=force</t>
  </si>
  <si>
    <t>http://10.175.1.14:8090/controller/#/location=APP_BT_DETAIL&amp;timeRange=Custom_Time_Range.BETWEEN_TIMES.1645423200000.1645419600000.60&amp;application=12&amp;businessTransaction=143&amp;dashboardMode=force</t>
  </si>
  <si>
    <t>http://10.175.1.14:8090/controller/#/location=APP_BT_DETAIL&amp;timeRange=Custom_Time_Range.BETWEEN_TIMES.1645423200000.1645419600000.60&amp;application=12&amp;businessTransaction=200&amp;dashboardMode=force</t>
  </si>
  <si>
    <t>http://10.175.1.14:8090/controller/#/location=APP_BT_DETAIL&amp;timeRange=Custom_Time_Range.BETWEEN_TIMES.1645423200000.1645419600000.60&amp;application=12&amp;businessTransaction=201&amp;dashboardMode=force</t>
  </si>
  <si>
    <t>http://10.175.1.14:8090/controller/#/location=APP_BT_DETAIL&amp;timeRange=Custom_Time_Range.BETWEEN_TIMES.1645423200000.1645419600000.60&amp;application=12&amp;businessTransaction=90&amp;dashboardMode=force</t>
  </si>
  <si>
    <t>http://10.175.1.14:8090/controller/#/location=APP_BT_DETAIL&amp;timeRange=Custom_Time_Range.BETWEEN_TIMES.1645423200000.1645419600000.60&amp;application=12&amp;businessTransaction=433&amp;dashboardMode=force</t>
  </si>
  <si>
    <t>http://10.175.1.14:8090/controller/#/location=APP_BT_DETAIL&amp;timeRange=Custom_Time_Range.BETWEEN_TIMES.1645423200000.1645419600000.60&amp;application=12&amp;businessTransaction=582&amp;dashboardMode=force</t>
  </si>
  <si>
    <t>http://10.175.1.14:8090/controller/#/location=APP_BT_DETAIL&amp;timeRange=Custom_Time_Range.BETWEEN_TIMES.1645423200000.1645419600000.60&amp;application=12&amp;businessTransaction=620&amp;dashboardMode=force</t>
  </si>
  <si>
    <t>http://10.175.1.14:8090/controller/#/location=APP_BT_DETAIL&amp;timeRange=Custom_Time_Range.BETWEEN_TIMES.1645423200000.1645419600000.60&amp;application=12&amp;businessTransaction=621&amp;dashboardMode=force</t>
  </si>
  <si>
    <t>http://10.175.1.14:8090/controller/#/location=APP_BT_DETAIL&amp;timeRange=Custom_Time_Range.BETWEEN_TIMES.1645423200000.1645419600000.60&amp;application=12&amp;businessTransaction=623&amp;dashboardMode=force</t>
  </si>
  <si>
    <t>http://10.175.1.14:8090/controller/#/location=APP_BT_DETAIL&amp;timeRange=Custom_Time_Range.BETWEEN_TIMES.1645423200000.1645419600000.60&amp;application=12&amp;businessTransaction=622&amp;dashboardMode=force</t>
  </si>
  <si>
    <t>http://10.175.1.14:8090/controller/#/location=APP_BT_DETAIL&amp;timeRange=Custom_Time_Range.BETWEEN_TIMES.1645423200000.1645419600000.60&amp;application=12&amp;businessTransaction=627&amp;dashboardMode=force</t>
  </si>
  <si>
    <t>http://10.175.1.14:8090/controller/#/location=APP_BT_DETAIL&amp;timeRange=Custom_Time_Range.BETWEEN_TIMES.1645423200000.1645419600000.60&amp;application=12&amp;businessTransaction=624&amp;dashboardMode=force</t>
  </si>
  <si>
    <t>http://10.175.1.14:8090/controller/#/location=APP_BT_DETAIL&amp;timeRange=Custom_Time_Range.BETWEEN_TIMES.1645423200000.1645419600000.60&amp;application=12&amp;businessTransaction=626&amp;dashboardMode=force</t>
  </si>
  <si>
    <t>http://10.175.1.14:8090/controller/#/location=APP_BT_DETAIL&amp;timeRange=Custom_Time_Range.BETWEEN_TIMES.1645423200000.1645419600000.60&amp;application=12&amp;businessTransaction=618&amp;dashboardMode=force</t>
  </si>
  <si>
    <t>http://10.175.1.14:8090/controller/#/location=APP_BT_DETAIL&amp;timeRange=Custom_Time_Range.BETWEEN_TIMES.1645423200000.1645419600000.60&amp;application=12&amp;businessTransaction=625&amp;dashboardMode=force</t>
  </si>
  <si>
    <t>http://10.175.1.14:8090/controller/#/location=APP_BT_DETAIL&amp;timeRange=Custom_Time_Range.BETWEEN_TIMES.1645423200000.1645419600000.60&amp;application=12&amp;businessTransaction=619&amp;dashboardMode=force</t>
  </si>
  <si>
    <t>FEP通信</t>
  </si>
  <si>
    <t>http://10.175.1.14:8090/controller/#/location=APP_BT_DETAIL&amp;timeRange=Custom_Time_Range.BETWEEN_TIMES.1645423200000.1645419600000.60&amp;application=12&amp;businessTransaction=483&amp;dashboardMode=force</t>
  </si>
  <si>
    <t>http://10.175.1.14:8090/controller/#/location=APP_BT_DETAIL&amp;timeRange=Custom_Time_Range.BETWEEN_TIMES.1645423200000.1645419600000.60&amp;application=12&amp;businessTransaction=698&amp;dashboardMode=force</t>
  </si>
  <si>
    <t>Newsplus</t>
  </si>
  <si>
    <t>http://10.175.1.14:8090/controller/#/location=APP_BT_DETAIL&amp;timeRange=Custom_Time_Range.BETWEEN_TIMES.1645423200000.1645419600000.60&amp;application=12&amp;businessTransaction=431&amp;dashboardMode=force</t>
  </si>
  <si>
    <t>TougouWebLogin</t>
  </si>
  <si>
    <t>http://10.175.1.14:8090/controller/#/location=APP_BT_DETAIL&amp;timeRange=Custom_Time_Range.BETWEEN_TIMES.1645423200000.1645419600000.60&amp;application=12&amp;businessTransaction=481&amp;dashboardMode=force</t>
  </si>
  <si>
    <t>http://10.175.1.14:8090/controller/#/location=APP_BT_DETAIL&amp;timeRange=Custom_Time_Range.BETWEEN_TIMES.1645423200000.1645419600000.60&amp;application=12&amp;businessTransaction=482&amp;dashboardMode=force</t>
  </si>
  <si>
    <t>http://10.175.1.14:8090/controller/#/location=APP_BT_DETAIL&amp;timeRange=Custom_Time_Range.BETWEEN_TIMES.1645423200000.1645419600000.60&amp;application=12&amp;businessTransaction=480&amp;dashboardMode=force</t>
  </si>
  <si>
    <t>SEPName</t>
  </si>
  <si>
    <t>SEPType</t>
  </si>
  <si>
    <t>SEPID</t>
  </si>
  <si>
    <t>SEPLink</t>
  </si>
  <si>
    <t>http://10.175.1.14:8090/controller/#/location=APP_SERVICE_ENDPOINT_DETAIL&amp;timeRange=Custom_Time_Range.BETWEEN_TIMES.1645423200000.1645419600000.60&amp;application=12&amp;component=42&amp;serviceEndpoint=149</t>
  </si>
  <si>
    <t>http://10.175.1.14:8090/controller/#/location=APP_SERVICE_ENDPOINT_DETAIL&amp;timeRange=Custom_Time_Range.BETWEEN_TIMES.1645423200000.1645419600000.60&amp;application=12&amp;component=39&amp;serviceEndpoint=103</t>
  </si>
  <si>
    <t>http://10.175.1.14:8090/controller/#/location=APP_SERVICE_ENDPOINT_DETAIL&amp;timeRange=Custom_Time_Range.BETWEEN_TIMES.1645423200000.1645419600000.60&amp;application=12&amp;component=41&amp;serviceEndpoint=352</t>
  </si>
  <si>
    <t>http://10.175.1.14:8090/controller/#/location=APP_SERVICE_ENDPOINT_DETAIL&amp;timeRange=Custom_Time_Range.BETWEEN_TIMES.1645423200000.1645419600000.60&amp;application=12&amp;component=40&amp;serviceEndpoint=357</t>
  </si>
  <si>
    <t>http://10.175.1.14:8090/controller/#/location=APP_SERVICE_ENDPOINT_DETAIL&amp;timeRange=Custom_Time_Range.BETWEEN_TIMES.1645423200000.1645419600000.60&amp;application=12&amp;component=36&amp;serviceEndpoint=154</t>
  </si>
  <si>
    <t>http://10.175.1.14:8090/controller/#/location=APP_SERVICE_ENDPOINT_DETAIL&amp;timeRange=Custom_Time_Range.BETWEEN_TIMES.1645423200000.1645419600000.60&amp;application=12&amp;component=37&amp;serviceEndpoint=276</t>
  </si>
  <si>
    <t>http://10.175.1.14:8090/controller/#/location=APP_SERVICE_ENDPOINT_DETAIL&amp;timeRange=Custom_Time_Range.BETWEEN_TIMES.1645423200000.1645419600000.60&amp;application=12&amp;component=38&amp;serviceEndpoint=278</t>
  </si>
  <si>
    <t>http://10.175.1.14:8090/controller/#/location=APP_SERVICE_ENDPOINT_DETAIL&amp;timeRange=Custom_Time_Range.BETWEEN_TIMES.1645423200000.1645419600000.60&amp;application=12&amp;component=43&amp;serviceEndpoint=1885</t>
  </si>
  <si>
    <t>http://10.175.1.14:8090/controller/#/location=APP_SERVICE_ENDPOINT_DETAIL&amp;timeRange=Custom_Time_Range.BETWEEN_TIMES.1645423200000.1645419600000.60&amp;application=12&amp;component=49&amp;serviceEndpoint=2058</t>
  </si>
  <si>
    <t>http://10.175.1.14:8090/controller/#/location=APP_SERVICE_ENDPOINT_DETAIL&amp;timeRange=Custom_Time_Range.BETWEEN_TIMES.1645423200000.1645419600000.60&amp;application=12&amp;component=50&amp;serviceEndpoint=2526</t>
  </si>
  <si>
    <t>http://10.175.1.14:8090/controller/#/location=APP_SERVICE_ENDPOINT_DETAIL&amp;timeRange=Custom_Time_Range.BETWEEN_TIMES.1645423200000.1645419600000.60&amp;application=12&amp;component=53&amp;serviceEndpoint=2242</t>
  </si>
  <si>
    <t>http://10.175.1.14:8090/controller/#/location=APP_SERVICE_ENDPOINT_DETAIL&amp;timeRange=Custom_Time_Range.BETWEEN_TIMES.1645423200000.1645419600000.60&amp;application=12&amp;component=55&amp;serviceEndpoint=3177</t>
  </si>
  <si>
    <t>/1mnvanfx.jsp</t>
  </si>
  <si>
    <t>http://10.175.1.14:8090/controller/#/location=APP_SERVICE_ENDPOINT_DETAIL&amp;timeRange=Custom_Time_Range.BETWEEN_TIMES.1645423200000.1645419600000.60&amp;application=12&amp;component=36&amp;serviceEndpoint=1245</t>
  </si>
  <si>
    <t>http://10.175.1.14:8090/controller/#/location=APP_SERVICE_ENDPOINT_DETAIL&amp;timeRange=Custom_Time_Range.BETWEEN_TIMES.1645423200000.1645419600000.60&amp;application=12&amp;component=42&amp;serviceEndpoint=1176</t>
  </si>
  <si>
    <t>http://10.175.1.14:8090/controller/#/location=APP_SERVICE_ENDPOINT_DETAIL&amp;timeRange=Custom_Time_Range.BETWEEN_TIMES.1645423200000.1645419600000.60&amp;application=12&amp;component=39&amp;serviceEndpoint=1196</t>
  </si>
  <si>
    <t>http://10.175.1.14:8090/controller/#/location=APP_SERVICE_ENDPOINT_DETAIL&amp;timeRange=Custom_Time_Range.BETWEEN_TIMES.1645423200000.1645419600000.60&amp;application=12&amp;component=36&amp;serviceEndpoint=1223</t>
  </si>
  <si>
    <t>http://10.175.1.14:8090/controller/#/location=APP_SERVICE_ENDPOINT_DETAIL&amp;timeRange=Custom_Time_Range.BETWEEN_TIMES.1645423200000.1645419600000.60&amp;application=12&amp;component=42&amp;serviceEndpoint=200</t>
  </si>
  <si>
    <t>/api/mailaddr</t>
  </si>
  <si>
    <t>http://10.175.1.14:8090/controller/#/location=APP_SERVICE_ENDPOINT_DETAIL&amp;timeRange=Custom_Time_Range.BETWEEN_TIMES.1645423200000.1645419600000.60&amp;application=12&amp;component=42&amp;serviceEndpoint=679</t>
  </si>
  <si>
    <t>/api/mailmagazine</t>
  </si>
  <si>
    <t>http://10.175.1.14:8090/controller/#/location=APP_SERVICE_ENDPOINT_DETAIL&amp;timeRange=Custom_Time_Range.BETWEEN_TIMES.1645423200000.1645419600000.60&amp;application=12&amp;component=42&amp;serviceEndpoint=680</t>
  </si>
  <si>
    <t>/api/mbwtmethod</t>
  </si>
  <si>
    <t>http://10.175.1.14:8090/controller/#/location=APP_SERVICE_ENDPOINT_DETAIL&amp;timeRange=Custom_Time_Range.BETWEEN_TIMES.1645423200000.1645419600000.60&amp;application=12&amp;component=42&amp;serviceEndpoint=902</t>
  </si>
  <si>
    <t>/api/onetime_entry</t>
  </si>
  <si>
    <t>http://10.175.1.14:8090/controller/#/location=APP_SERVICE_ENDPOINT_DETAIL&amp;timeRange=Custom_Time_Range.BETWEEN_TIMES.1645423200000.1645419600000.60&amp;application=12&amp;component=42&amp;serviceEndpoint=670</t>
  </si>
  <si>
    <t>/axis2/axis2-web</t>
  </si>
  <si>
    <t>http://10.175.1.14:8090/controller/#/location=APP_SERVICE_ENDPOINT_DETAIL&amp;timeRange=Custom_Time_Range.BETWEEN_TIMES.1645423200000.1645419600000.60&amp;application=12&amp;component=36&amp;serviceEndpoint=1247</t>
  </si>
  <si>
    <t>http://10.175.1.14:8090/controller/#/location=APP_SERVICE_ENDPOINT_DETAIL&amp;timeRange=Custom_Time_Range.BETWEEN_TIMES.1645423200000.1645419600000.60&amp;application=12&amp;component=43&amp;serviceEndpoint=903</t>
  </si>
  <si>
    <t>http://10.175.1.14:8090/controller/#/location=APP_SERVICE_ENDPOINT_DETAIL&amp;timeRange=Custom_Time_Range.BETWEEN_TIMES.1645423200000.1645419600000.60&amp;application=12&amp;component=55&amp;serviceEndpoint=2281</t>
  </si>
  <si>
    <t>/cgi-bin/1mnvanfx.jsp</t>
  </si>
  <si>
    <t>http://10.175.1.14:8090/controller/#/location=APP_SERVICE_ENDPOINT_DETAIL&amp;timeRange=Custom_Time_Range.BETWEEN_TIMES.1645423200000.1645419600000.60&amp;application=12&amp;component=36&amp;serviceEndpoint=1241</t>
  </si>
  <si>
    <t>/cgi-bin/zenworks</t>
  </si>
  <si>
    <t>http://10.175.1.14:8090/controller/#/location=APP_SERVICE_ENDPOINT_DETAIL&amp;timeRange=Custom_Time_Range.BETWEEN_TIMES.1645423200000.1645419600000.60&amp;application=12&amp;component=36&amp;serviceEndpoint=1235</t>
  </si>
  <si>
    <t>/clearspace/admin</t>
  </si>
  <si>
    <t>http://10.175.1.14:8090/controller/#/location=APP_SERVICE_ENDPOINT_DETAIL&amp;timeRange=Custom_Time_Range.BETWEEN_TIMES.1645423200000.1645419600000.60&amp;application=12&amp;component=36&amp;serviceEndpoint=1240</t>
  </si>
  <si>
    <t>http://10.175.1.14:8090/controller/#/location=APP_SERVICE_ENDPOINT_DETAIL&amp;timeRange=Custom_Time_Range.BETWEEN_TIMES.1645423200000.1645419600000.60&amp;application=12&amp;component=36&amp;serviceEndpoint=196</t>
  </si>
  <si>
    <t>http://10.175.1.14:8090/controller/#/location=APP_SERVICE_ENDPOINT_DETAIL&amp;timeRange=Custom_Time_Range.BETWEEN_TIMES.1645423200000.1645419600000.60&amp;application=12&amp;component=37&amp;serviceEndpoint=282</t>
  </si>
  <si>
    <t>http://10.175.1.14:8090/controller/#/location=APP_SERVICE_ENDPOINT_DETAIL&amp;timeRange=Custom_Time_Range.BETWEEN_TIMES.1645423200000.1645419600000.60&amp;application=12&amp;component=38&amp;serviceEndpoint=284</t>
  </si>
  <si>
    <t>http://10.175.1.14:8090/controller/#/location=APP_SERVICE_ENDPOINT_DETAIL&amp;timeRange=Custom_Time_Range.BETWEEN_TIMES.1645423200000.1645419600000.60&amp;application=12&amp;component=42&amp;serviceEndpoint=287</t>
  </si>
  <si>
    <t>http://10.175.1.14:8090/controller/#/location=APP_SERVICE_ENDPOINT_DETAIL&amp;timeRange=Custom_Time_Range.BETWEEN_TIMES.1645423200000.1645419600000.60&amp;application=12&amp;component=41&amp;serviceEndpoint=702</t>
  </si>
  <si>
    <t>http://10.175.1.14:8090/controller/#/location=APP_SERVICE_ENDPOINT_DETAIL&amp;timeRange=Custom_Time_Range.BETWEEN_TIMES.1645423200000.1645419600000.60&amp;application=12&amp;component=52&amp;serviceEndpoint=1959</t>
  </si>
  <si>
    <t>http://10.175.1.14:8090/controller/#/location=APP_SERVICE_ENDPOINT_DETAIL&amp;timeRange=Custom_Time_Range.BETWEEN_TIMES.1645423200000.1645419600000.60&amp;application=12&amp;component=41&amp;serviceEndpoint=445</t>
  </si>
  <si>
    <t>http://10.175.1.14:8090/controller/#/location=APP_SERVICE_ENDPOINT_DETAIL&amp;timeRange=Custom_Time_Range.BETWEEN_TIMES.1645423200000.1645419600000.60&amp;application=12&amp;component=36&amp;serviceEndpoint=437</t>
  </si>
  <si>
    <t>http://10.175.1.14:8090/controller/#/location=APP_SERVICE_ENDPOINT_DETAIL&amp;timeRange=Custom_Time_Range.BETWEEN_TIMES.1645423200000.1645419600000.60&amp;application=12&amp;component=36&amp;serviceEndpoint=339</t>
  </si>
  <si>
    <t>http://10.175.1.14:8090/controller/#/location=APP_SERVICE_ENDPOINT_DETAIL&amp;timeRange=Custom_Time_Range.BETWEEN_TIMES.1645423200000.1645419600000.60&amp;application=12&amp;component=36&amp;serviceEndpoint=199</t>
  </si>
  <si>
    <t>http://10.175.1.14:8090/controller/#/location=APP_SERVICE_ENDPOINT_DETAIL&amp;timeRange=Custom_Time_Range.BETWEEN_TIMES.1645423200000.1645419600000.60&amp;application=12&amp;component=37&amp;serviceEndpoint=281</t>
  </si>
  <si>
    <t>http://10.175.1.14:8090/controller/#/location=APP_SERVICE_ENDPOINT_DETAIL&amp;timeRange=Custom_Time_Range.BETWEEN_TIMES.1645423200000.1645419600000.60&amp;application=12&amp;component=38&amp;serviceEndpoint=283</t>
  </si>
  <si>
    <t>http://10.175.1.14:8090/controller/#/location=APP_SERVICE_ENDPOINT_DETAIL&amp;timeRange=Custom_Time_Range.BETWEEN_TIMES.1645423200000.1645419600000.60&amp;application=12&amp;component=53&amp;serviceEndpoint=2531</t>
  </si>
  <si>
    <t>/console/login</t>
  </si>
  <si>
    <t>http://10.175.1.14:8090/controller/#/location=APP_SERVICE_ENDPOINT_DETAIL&amp;timeRange=Custom_Time_Range.BETWEEN_TIMES.1645423200000.1645419600000.60&amp;application=12&amp;component=42&amp;serviceEndpoint=222</t>
  </si>
  <si>
    <t>/CSCOnm/servlet</t>
  </si>
  <si>
    <t>http://10.175.1.14:8090/controller/#/location=APP_SERVICE_ENDPOINT_DETAIL&amp;timeRange=Custom_Time_Range.BETWEEN_TIMES.1645423200000.1645419600000.60&amp;application=12&amp;component=42&amp;serviceEndpoint=1192</t>
  </si>
  <si>
    <t>http://10.175.1.14:8090/controller/#/location=APP_SERVICE_ENDPOINT_DETAIL&amp;timeRange=Custom_Time_Range.BETWEEN_TIMES.1645423200000.1645419600000.60&amp;application=12&amp;component=39&amp;serviceEndpoint=1207</t>
  </si>
  <si>
    <t>http://10.175.1.14:8090/controller/#/location=APP_SERVICE_ENDPOINT_DETAIL&amp;timeRange=Custom_Time_Range.BETWEEN_TIMES.1645423200000.1645419600000.60&amp;application=12&amp;component=36&amp;serviceEndpoint=1242</t>
  </si>
  <si>
    <t>/cwhp/CSMSDesktop</t>
  </si>
  <si>
    <t>http://10.175.1.14:8090/controller/#/location=APP_SERVICE_ENDPOINT_DETAIL&amp;timeRange=Custom_Time_Range.BETWEEN_TIMES.1645423200000.1645419600000.60&amp;application=12&amp;component=42&amp;serviceEndpoint=1191</t>
  </si>
  <si>
    <t>http://10.175.1.14:8090/controller/#/location=APP_SERVICE_ENDPOINT_DETAIL&amp;timeRange=Custom_Time_Range.BETWEEN_TIMES.1645423200000.1645419600000.60&amp;application=12&amp;component=39&amp;serviceEndpoint=1206</t>
  </si>
  <si>
    <t>http://10.175.1.14:8090/controller/#/location=APP_SERVICE_ENDPOINT_DETAIL&amp;timeRange=Custom_Time_Range.BETWEEN_TIMES.1645423200000.1645419600000.60&amp;application=12&amp;component=42&amp;serviceEndpoint=1175</t>
  </si>
  <si>
    <t>http://10.175.1.14:8090/controller/#/location=APP_SERVICE_ENDPOINT_DETAIL&amp;timeRange=Custom_Time_Range.BETWEEN_TIMES.1645423200000.1645419600000.60&amp;application=12&amp;component=39&amp;serviceEndpoint=1195</t>
  </si>
  <si>
    <t>http://10.175.1.14:8090/controller/#/location=APP_SERVICE_ENDPOINT_DETAIL&amp;timeRange=Custom_Time_Range.BETWEEN_TIMES.1645423200000.1645419600000.60&amp;application=12&amp;component=36&amp;serviceEndpoint=1222</t>
  </si>
  <si>
    <t>/dswsbobje/axis2-web</t>
  </si>
  <si>
    <t>http://10.175.1.14:8090/controller/#/location=APP_SERVICE_ENDPOINT_DETAIL&amp;timeRange=Custom_Time_Range.BETWEEN_TIMES.1645423200000.1645419600000.60&amp;application=12&amp;component=36&amp;serviceEndpoint=1250</t>
  </si>
  <si>
    <t>/f360/login.jsp</t>
  </si>
  <si>
    <t>http://10.175.1.14:8090/controller/#/location=APP_SERVICE_ENDPOINT_DETAIL&amp;timeRange=Custom_Time_Range.BETWEEN_TIMES.1645423200000.1645419600000.60&amp;application=12&amp;component=39&amp;serviceEndpoint=1211</t>
  </si>
  <si>
    <t>http://10.175.1.14:8090/controller/#/location=APP_SERVICE_ENDPOINT_DETAIL&amp;timeRange=Custom_Time_Range.BETWEEN_TIMES.1645423200000.1645419600000.60&amp;application=12&amp;component=42&amp;serviceEndpoint=173</t>
  </si>
  <si>
    <t>http://10.175.1.14:8090/controller/#/location=APP_SERVICE_ENDPOINT_DETAIL&amp;timeRange=Custom_Time_Range.BETWEEN_TIMES.1645423200000.1645419600000.60&amp;application=12&amp;component=39&amp;serviceEndpoint=106</t>
  </si>
  <si>
    <t>http://10.175.1.14:8090/controller/#/location=APP_SERVICE_ENDPOINT_DETAIL&amp;timeRange=Custom_Time_Range.BETWEEN_TIMES.1645423200000.1645419600000.60&amp;application=12&amp;component=40&amp;serviceEndpoint=359</t>
  </si>
  <si>
    <t>http://10.175.1.14:8090/controller/#/location=APP_SERVICE_ENDPOINT_DETAIL&amp;timeRange=Custom_Time_Range.BETWEEN_TIMES.1645423200000.1645419600000.60&amp;application=12&amp;component=36&amp;serviceEndpoint=174</t>
  </si>
  <si>
    <t>http://10.175.1.14:8090/controller/#/location=APP_SERVICE_ENDPOINT_DETAIL&amp;timeRange=Custom_Time_Range.BETWEEN_TIMES.1645423200000.1645419600000.60&amp;application=12&amp;component=37&amp;serviceEndpoint=295</t>
  </si>
  <si>
    <t>http://10.175.1.14:8090/controller/#/location=APP_SERVICE_ENDPOINT_DETAIL&amp;timeRange=Custom_Time_Range.BETWEEN_TIMES.1645423200000.1645419600000.60&amp;application=12&amp;component=38&amp;serviceEndpoint=297</t>
  </si>
  <si>
    <t>http://10.175.1.14:8090/controller/#/location=APP_SERVICE_ENDPOINT_DETAIL&amp;timeRange=Custom_Time_Range.BETWEEN_TIMES.1645423200000.1645419600000.60&amp;application=12&amp;component=49&amp;serviceEndpoint=1956</t>
  </si>
  <si>
    <t>http://10.175.1.14:8090/controller/#/location=APP_SERVICE_ENDPOINT_DETAIL&amp;timeRange=Custom_Time_Range.BETWEEN_TIMES.1645423200000.1645419600000.60&amp;application=12&amp;component=50&amp;serviceEndpoint=1957</t>
  </si>
  <si>
    <t>http://10.175.1.14:8090/controller/#/location=APP_SERVICE_ENDPOINT_DETAIL&amp;timeRange=Custom_Time_Range.BETWEEN_TIMES.1645423200000.1645419600000.60&amp;application=12&amp;component=51&amp;serviceEndpoint=1958</t>
  </si>
  <si>
    <t>http://10.175.1.14:8090/controller/#/location=APP_SERVICE_ENDPOINT_DETAIL&amp;timeRange=Custom_Time_Range.BETWEEN_TIMES.1645423200000.1645419600000.60&amp;application=12&amp;component=54&amp;serviceEndpoint=2066</t>
  </si>
  <si>
    <t>http://10.175.1.14:8090/controller/#/location=APP_SERVICE_ENDPOINT_DETAIL&amp;timeRange=Custom_Time_Range.BETWEEN_TIMES.1645423200000.1645419600000.60&amp;application=12&amp;component=53&amp;serviceEndpoint=1962</t>
  </si>
  <si>
    <t>http://10.175.1.14:8090/controller/#/location=APP_SERVICE_ENDPOINT_DETAIL&amp;timeRange=Custom_Time_Range.BETWEEN_TIMES.1645423200000.1645419600000.60&amp;application=12&amp;component=56&amp;serviceEndpoint=2059</t>
  </si>
  <si>
    <t>/IDMProv/jsps</t>
  </si>
  <si>
    <t>http://10.175.1.14:8090/controller/#/location=APP_SERVICE_ENDPOINT_DETAIL&amp;timeRange=Custom_Time_Range.BETWEEN_TIMES.1645423200000.1645419600000.60&amp;application=12&amp;component=39&amp;serviceEndpoint=1213</t>
  </si>
  <si>
    <t>/if/CGI_get_af_sessionkey.php</t>
  </si>
  <si>
    <t>http://10.175.1.14:8090/controller/#/location=APP_SERVICE_ENDPOINT_DETAIL&amp;timeRange=Custom_Time_Range.BETWEEN_TIMES.1645423200000.1645419600000.60&amp;application=12&amp;component=42&amp;serviceEndpoint=334</t>
  </si>
  <si>
    <t>http://10.175.1.14:8090/controller/#/location=APP_SERVICE_ENDPOINT_DETAIL&amp;timeRange=Custom_Time_Range.BETWEEN_TIMES.1645423200000.1645419600000.60&amp;application=12&amp;component=36&amp;serviceEndpoint=421</t>
  </si>
  <si>
    <t>/imcws/axis2-web</t>
  </si>
  <si>
    <t>http://10.175.1.14:8090/controller/#/location=APP_SERVICE_ENDPOINT_DETAIL&amp;timeRange=Custom_Time_Range.BETWEEN_TIMES.1645423200000.1645419600000.60&amp;application=12&amp;component=36&amp;serviceEndpoint=1248</t>
  </si>
  <si>
    <t>/include/</t>
  </si>
  <si>
    <t>http://10.175.1.14:8090/controller/#/location=APP_SERVICE_ENDPOINT_DETAIL&amp;timeRange=Custom_Time_Range.BETWEEN_TIMES.1645423200000.1645419600000.60&amp;application=12&amp;component=50&amp;serviceEndpoint=2529</t>
  </si>
  <si>
    <t>http://10.175.1.14:8090/controller/#/location=APP_SERVICE_ENDPOINT_DETAIL&amp;timeRange=Custom_Time_Range.BETWEEN_TIMES.1645423200000.1645419600000.60&amp;application=12&amp;component=51&amp;serviceEndpoint=2534</t>
  </si>
  <si>
    <t>/include/inet</t>
  </si>
  <si>
    <t>http://10.175.1.14:8090/controller/#/location=APP_SERVICE_ENDPOINT_DETAIL&amp;timeRange=Custom_Time_Range.BETWEEN_TIMES.1645423200000.1645419600000.60&amp;application=12&amp;component=49&amp;serviceEndpoint=2411</t>
  </si>
  <si>
    <t>/index.jsp</t>
  </si>
  <si>
    <t>http://10.175.1.14:8090/controller/#/location=APP_SERVICE_ENDPOINT_DETAIL&amp;timeRange=Custom_Time_Range.BETWEEN_TIMES.1645423200000.1645419600000.60&amp;application=12&amp;component=42&amp;serviceEndpoint=1187</t>
  </si>
  <si>
    <t>http://10.175.1.14:8090/controller/#/location=APP_SERVICE_ENDPOINT_DETAIL&amp;timeRange=Custom_Time_Range.BETWEEN_TIMES.1645423200000.1645419600000.60&amp;application=12&amp;component=39&amp;serviceEndpoint=1201</t>
  </si>
  <si>
    <t>http://10.175.1.14:8090/controller/#/location=APP_SERVICE_ENDPOINT_DETAIL&amp;timeRange=Custom_Time_Range.BETWEEN_TIMES.1645423200000.1645419600000.60&amp;application=12&amp;component=36&amp;serviceEndpoint=1229</t>
  </si>
  <si>
    <t>/inet/</t>
  </si>
  <si>
    <t>http://10.175.1.14:8090/controller/#/location=APP_SERVICE_ENDPOINT_DETAIL&amp;timeRange=Custom_Time_Range.BETWEEN_TIMES.1645423200000.1645419600000.60&amp;application=12&amp;component=50&amp;serviceEndpoint=2527</t>
  </si>
  <si>
    <t>http://10.175.1.14:8090/controller/#/location=APP_SERVICE_ENDPOINT_DETAIL&amp;timeRange=Custom_Time_Range.BETWEEN_TIMES.1645423200000.1645419600000.60&amp;application=12&amp;component=42&amp;serviceEndpoint=195</t>
  </si>
  <si>
    <t>http://10.175.1.14:8090/controller/#/location=APP_SERVICE_ENDPOINT_DETAIL&amp;timeRange=Custom_Time_Range.BETWEEN_TIMES.1645423200000.1645419600000.60&amp;application=12&amp;component=42&amp;serviceEndpoint=224</t>
  </si>
  <si>
    <t>http://10.175.1.14:8090/controller/#/location=APP_SERVICE_ENDPOINT_DETAIL&amp;timeRange=Custom_Time_Range.BETWEEN_TIMES.1645423200000.1645419600000.60&amp;application=12&amp;component=42&amp;serviceEndpoint=305</t>
  </si>
  <si>
    <t>http://10.175.1.14:8090/controller/#/location=APP_SERVICE_ENDPOINT_DETAIL&amp;timeRange=Custom_Time_Range.BETWEEN_TIMES.1645423200000.1645419600000.60&amp;application=12&amp;component=42&amp;serviceEndpoint=302</t>
  </si>
  <si>
    <t>http://10.175.1.14:8090/controller/#/location=APP_SERVICE_ENDPOINT_DETAIL&amp;timeRange=Custom_Time_Range.BETWEEN_TIMES.1645423200000.1645419600000.60&amp;application=12&amp;component=42&amp;serviceEndpoint=172</t>
  </si>
  <si>
    <t>http://10.175.1.14:8090/controller/#/location=APP_SERVICE_ENDPOINT_DETAIL&amp;timeRange=Custom_Time_Range.BETWEEN_TIMES.1645423200000.1645419600000.60&amp;application=12&amp;component=49&amp;serviceEndpoint=2536</t>
  </si>
  <si>
    <t>http://10.175.1.14:8090/controller/#/location=APP_SERVICE_ENDPOINT_DETAIL&amp;timeRange=Custom_Time_Range.BETWEEN_TIMES.1645423200000.1645419600000.60&amp;application=12&amp;component=42&amp;serviceEndpoint=333</t>
  </si>
  <si>
    <t>http://10.175.1.14:8090/controller/#/location=APP_SERVICE_ENDPOINT_DETAIL&amp;timeRange=Custom_Time_Range.BETWEEN_TIMES.1645423200000.1645419600000.60&amp;application=12&amp;component=42&amp;serviceEndpoint=161</t>
  </si>
  <si>
    <t>/inet/ITYZKEC.jsp</t>
  </si>
  <si>
    <t>http://10.175.1.14:8090/controller/#/location=APP_SERVICE_ENDPOINT_DETAIL&amp;timeRange=Custom_Time_Range.BETWEEN_TIMES.1645423200000.1645419600000.60&amp;application=12&amp;component=42&amp;serviceEndpoint=478</t>
  </si>
  <si>
    <t>http://10.175.1.14:8090/controller/#/location=APP_SERVICE_ENDPOINT_DETAIL&amp;timeRange=Custom_Time_Range.BETWEEN_TIMES.1645423200000.1645419600000.60&amp;application=12&amp;component=42&amp;serviceEndpoint=101</t>
  </si>
  <si>
    <t>/inet/mufg</t>
  </si>
  <si>
    <t>http://10.175.1.14:8090/controller/#/location=APP_SERVICE_ENDPOINT_DETAIL&amp;timeRange=Custom_Time_Range.BETWEEN_TIMES.1645423200000.1645419600000.60&amp;application=12&amp;component=49&amp;serviceEndpoint=2533</t>
  </si>
  <si>
    <t>http://10.175.1.14:8090/controller/#/location=APP_SERVICE_ENDPOINT_DETAIL&amp;timeRange=Custom_Time_Range.BETWEEN_TIMES.1645423200000.1645419600000.60&amp;application=12&amp;component=42&amp;serviceEndpoint=178</t>
  </si>
  <si>
    <t>http://10.175.1.14:8090/controller/#/location=APP_SERVICE_ENDPOINT_DETAIL&amp;timeRange=Custom_Time_Range.BETWEEN_TIMES.1645423200000.1645419600000.60&amp;application=12&amp;component=39&amp;serviceEndpoint=299</t>
  </si>
  <si>
    <t>http://10.175.1.14:8090/controller/#/location=APP_SERVICE_ENDPOINT_DETAIL&amp;timeRange=Custom_Time_Range.BETWEEN_TIMES.1645423200000.1645419600000.60&amp;application=12&amp;component=42&amp;serviceEndpoint=177</t>
  </si>
  <si>
    <t>http://10.175.1.14:8090/controller/#/location=APP_SERVICE_ENDPOINT_DETAIL&amp;timeRange=Custom_Time_Range.BETWEEN_TIMES.1645423200000.1645419600000.60&amp;application=12&amp;component=40&amp;serviceEndpoint=1567</t>
  </si>
  <si>
    <t>http://10.175.1.14:8090/controller/#/location=APP_SERVICE_ENDPOINT_DETAIL&amp;timeRange=Custom_Time_Range.BETWEEN_TIMES.1645423200000.1645419600000.60&amp;application=12&amp;component=42&amp;serviceEndpoint=192</t>
  </si>
  <si>
    <t>http://10.175.1.14:8090/controller/#/location=APP_SERVICE_ENDPOINT_DETAIL&amp;timeRange=Custom_Time_Range.BETWEEN_TIMES.1645423200000.1645419600000.60&amp;application=12&amp;component=42&amp;serviceEndpoint=306</t>
  </si>
  <si>
    <t>http://10.175.1.14:8090/controller/#/location=APP_SERVICE_ENDPOINT_DETAIL&amp;timeRange=Custom_Time_Range.BETWEEN_TIMES.1645423200000.1645419600000.60&amp;application=12&amp;component=42&amp;serviceEndpoint=317</t>
  </si>
  <si>
    <t>http://10.175.1.14:8090/controller/#/location=APP_SERVICE_ENDPOINT_DETAIL&amp;timeRange=Custom_Time_Range.BETWEEN_TIMES.1645423200000.1645419600000.60&amp;application=12&amp;component=42&amp;serviceEndpoint=194</t>
  </si>
  <si>
    <t>http://10.175.1.14:8090/controller/#/location=APP_SERVICE_ENDPOINT_DETAIL&amp;timeRange=Custom_Time_Range.BETWEEN_TIMES.1645423200000.1645419600000.60&amp;application=12&amp;component=42&amp;serviceEndpoint=191</t>
  </si>
  <si>
    <t>/inet/test.jsp</t>
  </si>
  <si>
    <t>http://10.175.1.14:8090/controller/#/location=APP_SERVICE_ENDPOINT_DETAIL&amp;timeRange=Custom_Time_Range.BETWEEN_TIMES.1645423200000.1645419600000.60&amp;application=12&amp;component=42&amp;serviceEndpoint=710</t>
  </si>
  <si>
    <t>http://10.175.1.14:8090/controller/#/location=APP_SERVICE_ENDPOINT_DETAIL&amp;timeRange=Custom_Time_Range.BETWEEN_TIMES.1645423200000.1645419600000.60&amp;application=12&amp;component=42&amp;serviceEndpoint=181</t>
  </si>
  <si>
    <t>http://10.175.1.14:8090/controller/#/location=APP_SERVICE_ENDPOINT_DETAIL&amp;timeRange=Custom_Time_Range.BETWEEN_TIMES.1645423200000.1645419600000.60&amp;application=12&amp;component=42&amp;serviceEndpoint=190</t>
  </si>
  <si>
    <t>/inet/ufjc</t>
  </si>
  <si>
    <t>http://10.175.1.14:8090/controller/#/location=APP_SERVICE_ENDPOINT_DETAIL&amp;timeRange=Custom_Time_Range.BETWEEN_TIMES.1645423200000.1645419600000.60&amp;application=12&amp;component=40&amp;serviceEndpoint=433</t>
  </si>
  <si>
    <t>http://10.175.1.14:8090/controller/#/location=APP_SERVICE_ENDPOINT_DETAIL&amp;timeRange=Custom_Time_Range.BETWEEN_TIMES.1645423200000.1645419600000.60&amp;application=12&amp;component=42&amp;serviceEndpoint=1177</t>
  </si>
  <si>
    <t>http://10.175.1.14:8090/controller/#/location=APP_SERVICE_ENDPOINT_DETAIL&amp;timeRange=Custom_Time_Range.BETWEEN_TIMES.1645423200000.1645419600000.60&amp;application=12&amp;component=39&amp;serviceEndpoint=1199</t>
  </si>
  <si>
    <t>http://10.175.1.14:8090/controller/#/location=APP_SERVICE_ENDPOINT_DETAIL&amp;timeRange=Custom_Time_Range.BETWEEN_TIMES.1645423200000.1645419600000.60&amp;application=12&amp;component=36&amp;serviceEndpoint=1224</t>
  </si>
  <si>
    <t>http://10.175.1.14:8090/controller/#/location=APP_SERVICE_ENDPOINT_DETAIL&amp;timeRange=Custom_Time_Range.BETWEEN_TIMES.1645423200000.1645419600000.60&amp;application=12&amp;component=42&amp;serviceEndpoint=202</t>
  </si>
  <si>
    <t>http://10.175.1.14:8090/controller/#/location=APP_SERVICE_ENDPOINT_DETAIL&amp;timeRange=Custom_Time_Range.BETWEEN_TIMES.1645423200000.1645419600000.60&amp;application=12&amp;component=36&amp;serviceEndpoint=401</t>
  </si>
  <si>
    <t>http://10.175.1.14:8090/controller/#/location=APP_SERVICE_ENDPOINT_DETAIL&amp;timeRange=Custom_Time_Range.BETWEEN_TIMES.1645423200000.1645419600000.60&amp;application=12&amp;component=43&amp;serviceEndpoint=95</t>
  </si>
  <si>
    <t>http://10.175.1.14:8090/controller/#/location=APP_SERVICE_ENDPOINT_DETAIL&amp;timeRange=Custom_Time_Range.BETWEEN_TIMES.1645423200000.1645419600000.60&amp;application=12&amp;component=55&amp;serviceEndpoint=2055</t>
  </si>
  <si>
    <t>http://10.175.1.14:8090/controller/#/location=APP_SERVICE_ENDPOINT_DETAIL&amp;timeRange=Custom_Time_Range.BETWEEN_TIMES.1645423200000.1645419600000.60&amp;application=12&amp;component=42&amp;serviceEndpoint=216</t>
  </si>
  <si>
    <t>http://10.175.1.14:8090/controller/#/location=APP_SERVICE_ENDPOINT_DETAIL&amp;timeRange=Custom_Time_Range.BETWEEN_TIMES.1645423200000.1645419600000.60&amp;application=12&amp;component=36&amp;serviceEndpoint=397</t>
  </si>
  <si>
    <t>/k5ouo4k7.jsp</t>
  </si>
  <si>
    <t>http://10.175.1.14:8090/controller/#/location=APP_SERVICE_ENDPOINT_DETAIL&amp;timeRange=Custom_Time_Range.BETWEEN_TIMES.1645423200000.1645419600000.60&amp;application=12&amp;component=42&amp;serviceEndpoint=1186</t>
  </si>
  <si>
    <t>/login.jsp</t>
  </si>
  <si>
    <t>http://10.175.1.14:8090/controller/#/location=APP_SERVICE_ENDPOINT_DETAIL&amp;timeRange=Custom_Time_Range.BETWEEN_TIMES.1645423200000.1645419600000.60&amp;application=12&amp;component=42&amp;serviceEndpoint=1190</t>
  </si>
  <si>
    <t>http://10.175.1.14:8090/controller/#/location=APP_SERVICE_ENDPOINT_DETAIL&amp;timeRange=Custom_Time_Range.BETWEEN_TIMES.1645423200000.1645419600000.60&amp;application=12&amp;component=39&amp;serviceEndpoint=1205</t>
  </si>
  <si>
    <t>http://10.175.1.14:8090/controller/#/location=APP_SERVICE_ENDPOINT_DETAIL&amp;timeRange=Custom_Time_Range.BETWEEN_TIMES.1645423200000.1645419600000.60&amp;application=12&amp;component=36&amp;serviceEndpoint=1239</t>
  </si>
  <si>
    <t>/logon.jsp</t>
  </si>
  <si>
    <t>http://10.175.1.14:8090/controller/#/location=APP_SERVICE_ENDPOINT_DETAIL&amp;timeRange=Custom_Time_Range.BETWEEN_TIMES.1645423200000.1645419600000.60&amp;application=12&amp;component=42&amp;serviceEndpoint=1193</t>
  </si>
  <si>
    <t>http://10.175.1.14:8090/controller/#/location=APP_SERVICE_ENDPOINT_DETAIL&amp;timeRange=Custom_Time_Range.BETWEEN_TIMES.1645423200000.1645419600000.60&amp;application=12&amp;component=39&amp;serviceEndpoint=1208</t>
  </si>
  <si>
    <t>http://10.175.1.14:8090/controller/#/location=APP_SERVICE_ENDPOINT_DETAIL&amp;timeRange=Custom_Time_Range.BETWEEN_TIMES.1645423200000.1645419600000.60&amp;application=12&amp;component=36&amp;serviceEndpoint=1243</t>
  </si>
  <si>
    <t>http://10.175.1.14:8090/controller/#/location=APP_SERVICE_ENDPOINT_DETAIL&amp;timeRange=Custom_Time_Range.BETWEEN_TIMES.1645423200000.1645419600000.60&amp;application=12&amp;component=42&amp;serviceEndpoint=148</t>
  </si>
  <si>
    <t>http://10.175.1.14:8090/controller/#/location=APP_SERVICE_ENDPOINT_DETAIL&amp;timeRange=Custom_Time_Range.BETWEEN_TIMES.1645423200000.1645419600000.60&amp;application=12&amp;component=39&amp;serviceEndpoint=102</t>
  </si>
  <si>
    <t>http://10.175.1.14:8090/controller/#/location=APP_SERVICE_ENDPOINT_DETAIL&amp;timeRange=Custom_Time_Range.BETWEEN_TIMES.1645423200000.1645419600000.60&amp;application=12&amp;component=41&amp;serviceEndpoint=351</t>
  </si>
  <si>
    <t>http://10.175.1.14:8090/controller/#/location=APP_SERVICE_ENDPOINT_DETAIL&amp;timeRange=Custom_Time_Range.BETWEEN_TIMES.1645423200000.1645419600000.60&amp;application=12&amp;component=40&amp;serviceEndpoint=356</t>
  </si>
  <si>
    <t>http://10.175.1.14:8090/controller/#/location=APP_SERVICE_ENDPOINT_DETAIL&amp;timeRange=Custom_Time_Range.BETWEEN_TIMES.1645423200000.1645419600000.60&amp;application=12&amp;component=36&amp;serviceEndpoint=153</t>
  </si>
  <si>
    <t>http://10.175.1.14:8090/controller/#/location=APP_SERVICE_ENDPOINT_DETAIL&amp;timeRange=Custom_Time_Range.BETWEEN_TIMES.1645423200000.1645419600000.60&amp;application=12&amp;component=37&amp;serviceEndpoint=275</t>
  </si>
  <si>
    <t>http://10.175.1.14:8090/controller/#/location=APP_SERVICE_ENDPOINT_DETAIL&amp;timeRange=Custom_Time_Range.BETWEEN_TIMES.1645423200000.1645419600000.60&amp;application=12&amp;component=38&amp;serviceEndpoint=277</t>
  </si>
  <si>
    <t>http://10.175.1.14:8090/controller/#/location=APP_SERVICE_ENDPOINT_DETAIL&amp;timeRange=Custom_Time_Range.BETWEEN_TIMES.1645423200000.1645419600000.60&amp;application=12&amp;component=43&amp;serviceEndpoint=1884</t>
  </si>
  <si>
    <t>http://10.175.1.14:8090/controller/#/location=APP_SERVICE_ENDPOINT_DETAIL&amp;timeRange=Custom_Time_Range.BETWEEN_TIMES.1645423200000.1645419600000.60&amp;application=12&amp;component=49&amp;serviceEndpoint=2057</t>
  </si>
  <si>
    <t>http://10.175.1.14:8090/controller/#/location=APP_SERVICE_ENDPOINT_DETAIL&amp;timeRange=Custom_Time_Range.BETWEEN_TIMES.1645423200000.1645419600000.60&amp;application=12&amp;component=53&amp;serviceEndpoint=2241</t>
  </si>
  <si>
    <t>http://10.175.1.14:8090/controller/#/location=APP_SERVICE_ENDPOINT_DETAIL&amp;timeRange=Custom_Time_Range.BETWEEN_TIMES.1645423200000.1645419600000.60&amp;application=12&amp;component=55&amp;serviceEndpoint=3176</t>
  </si>
  <si>
    <t>http://10.175.1.14:8090/controller/#/location=APP_SERVICE_ENDPOINT_DETAIL&amp;timeRange=Custom_Time_Range.BETWEEN_TIMES.1645423200000.1645419600000.60&amp;application=12&amp;component=36&amp;serviceEndpoint=206</t>
  </si>
  <si>
    <t>http://10.175.1.14:8090/controller/#/location=APP_SERVICE_ENDPOINT_DETAIL&amp;timeRange=Custom_Time_Range.BETWEEN_TIMES.1645423200000.1645419600000.60&amp;application=12&amp;component=53&amp;serviceEndpoint=2250</t>
  </si>
  <si>
    <t>/master/WEB-INF</t>
  </si>
  <si>
    <t>http://10.175.1.14:8090/controller/#/location=APP_SERVICE_ENDPOINT_DETAIL&amp;timeRange=Custom_Time_Range.BETWEEN_TIMES.1645423200000.1645419600000.60&amp;application=12&amp;component=36&amp;serviceEndpoint=205</t>
  </si>
  <si>
    <t>http://10.175.1.14:8090/controller/#/location=APP_SERVICE_ENDPOINT_DETAIL&amp;timeRange=Custom_Time_Range.BETWEEN_TIMES.1645423200000.1645419600000.60&amp;application=12&amp;component=53&amp;serviceEndpoint=2249</t>
  </si>
  <si>
    <t>http://10.175.1.14:8090/controller/#/location=APP_SERVICE_ENDPOINT_DETAIL&amp;timeRange=Custom_Time_Range.BETWEEN_TIMES.1645423200000.1645419600000.60&amp;application=12&amp;component=50&amp;serviceEndpoint=2522</t>
  </si>
  <si>
    <t>/modules/inquiry</t>
  </si>
  <si>
    <t>http://10.175.1.14:8090/controller/#/location=APP_SERVICE_ENDPOINT_DETAIL&amp;timeRange=Custom_Time_Range.BETWEEN_TIMES.1645423200000.1645419600000.60&amp;application=12&amp;component=39&amp;serviceEndpoint=477</t>
  </si>
  <si>
    <t>http://10.175.1.14:8090/controller/#/location=APP_SERVICE_ENDPOINT_DETAIL&amp;timeRange=Custom_Time_Range.BETWEEN_TIMES.1645423200000.1645419600000.60&amp;application=12&amp;component=49&amp;serviceEndpoint=2409</t>
  </si>
  <si>
    <t>http://10.175.1.14:8090/controller/#/location=APP_SERVICE_ENDPOINT_DETAIL&amp;timeRange=Custom_Time_Range.BETWEEN_TIMES.1645423200000.1645419600000.60&amp;application=12&amp;component=50&amp;serviceEndpoint=2530</t>
  </si>
  <si>
    <t>http://10.175.1.14:8090/controller/#/location=APP_SERVICE_ENDPOINT_DETAIL&amp;timeRange=Custom_Time_Range.BETWEEN_TIMES.1645423200000.1645419600000.60&amp;application=12&amp;component=51&amp;serviceEndpoint=2532</t>
  </si>
  <si>
    <t>http://10.175.1.14:8090/controller/#/location=APP_SERVICE_ENDPOINT_DETAIL&amp;timeRange=Custom_Time_Range.BETWEEN_TIMES.1645423200000.1645419600000.60&amp;application=12&amp;component=39&amp;serviceEndpoint=298</t>
  </si>
  <si>
    <t>http://10.175.1.14:8090/controller/#/location=APP_SERVICE_ENDPOINT_DETAIL&amp;timeRange=Custom_Time_Range.BETWEEN_TIMES.1645423200000.1645419600000.60&amp;application=12&amp;component=40&amp;serviceEndpoint=849</t>
  </si>
  <si>
    <t>/net/s_entry</t>
  </si>
  <si>
    <t>http://10.175.1.14:8090/controller/#/location=APP_SERVICE_ENDPOINT_DETAIL&amp;timeRange=Custom_Time_Range.BETWEEN_TIMES.1645423200000.1645419600000.60&amp;application=12&amp;component=49&amp;serviceEndpoint=2410</t>
  </si>
  <si>
    <t>/niet170746282.jsp</t>
  </si>
  <si>
    <t>http://10.175.1.14:8090/controller/#/location=APP_SERVICE_ENDPOINT_DETAIL&amp;timeRange=Custom_Time_Range.BETWEEN_TIMES.1645423200000.1645419600000.60&amp;application=12&amp;component=42&amp;serviceEndpoint=1198</t>
  </si>
  <si>
    <t>/niet573848419.jsp</t>
  </si>
  <si>
    <t>http://10.175.1.14:8090/controller/#/location=APP_SERVICE_ENDPOINT_DETAIL&amp;timeRange=Custom_Time_Range.BETWEEN_TIMES.1645423200000.1645419600000.60&amp;application=12&amp;component=39&amp;serviceEndpoint=1210</t>
  </si>
  <si>
    <t>/niet936034963.jspx</t>
  </si>
  <si>
    <t>http://10.175.1.14:8090/controller/#/location=APP_SERVICE_ENDPOINT_DETAIL&amp;timeRange=Custom_Time_Range.BETWEEN_TIMES.1645423200000.1645419600000.60&amp;application=12&amp;component=39&amp;serviceEndpoint=1212</t>
  </si>
  <si>
    <t>/OEM/CGI_ouser_entry.php3</t>
  </si>
  <si>
    <t>http://10.175.1.14:8090/controller/#/location=APP_SERVICE_ENDPOINT_DETAIL&amp;timeRange=Custom_Time_Range.BETWEEN_TIMES.1645423200000.1645419600000.60&amp;application=12&amp;component=42&amp;serviceEndpoint=332</t>
  </si>
  <si>
    <t>http://10.175.1.14:8090/controller/#/location=APP_SERVICE_ENDPOINT_DETAIL&amp;timeRange=Custom_Time_Range.BETWEEN_TIMES.1645423200000.1645419600000.60&amp;application=12&amp;component=36&amp;serviceEndpoint=455</t>
  </si>
  <si>
    <t>http://10.175.1.14:8090/controller/#/location=APP_SERVICE_ENDPOINT_DETAIL&amp;timeRange=Custom_Time_Range.BETWEEN_TIMES.1645423200000.1645419600000.60&amp;application=12&amp;component=34&amp;serviceEndpoint=349</t>
  </si>
  <si>
    <t>http://10.175.1.14:8090/controller/#/location=APP_SERVICE_ENDPOINT_DETAIL&amp;timeRange=Custom_Time_Range.BETWEEN_TIMES.1645423200000.1645419600000.60&amp;application=12&amp;component=47&amp;serviceEndpoint=1954</t>
  </si>
  <si>
    <t>/ondelay/hello.jsp</t>
  </si>
  <si>
    <t>http://10.175.1.14:8090/controller/#/location=APP_SERVICE_ENDPOINT_DETAIL&amp;timeRange=Custom_Time_Range.BETWEEN_TIMES.1645423200000.1645419600000.60&amp;application=12&amp;component=47&amp;serviceEndpoint=5038</t>
  </si>
  <si>
    <t>http://10.175.1.14:8090/controller/#/location=APP_SERVICE_ENDPOINT_DETAIL&amp;timeRange=Custom_Time_Range.BETWEEN_TIMES.1645423200000.1645419600000.60&amp;application=12&amp;component=42&amp;serviceEndpoint=168</t>
  </si>
  <si>
    <t>http://10.175.1.14:8090/controller/#/location=APP_SERVICE_ENDPOINT_DETAIL&amp;timeRange=Custom_Time_Range.BETWEEN_TIMES.1645423200000.1645419600000.60&amp;application=12&amp;component=36&amp;serviceEndpoint=159</t>
  </si>
  <si>
    <t>http://10.175.1.14:8090/controller/#/location=APP_SERVICE_ENDPOINT_DETAIL&amp;timeRange=Custom_Time_Range.BETWEEN_TIMES.1645423200000.1645419600000.60&amp;application=12&amp;component=34&amp;serviceEndpoint=230</t>
  </si>
  <si>
    <t>http://10.175.1.14:8090/controller/#/location=APP_SERVICE_ENDPOINT_DETAIL&amp;timeRange=Custom_Time_Range.BETWEEN_TIMES.1645423200000.1645419600000.60&amp;application=12&amp;component=47&amp;serviceEndpoint=2255</t>
  </si>
  <si>
    <t>http://10.175.1.14:8090/controller/#/location=APP_SERVICE_ENDPOINT_DETAIL&amp;timeRange=Custom_Time_Range.BETWEEN_TIMES.1645423200000.1645419600000.60&amp;application=12&amp;component=39&amp;serviceEndpoint=122</t>
  </si>
  <si>
    <t>http://10.175.1.14:8090/controller/#/location=APP_SERVICE_ENDPOINT_DETAIL&amp;timeRange=Custom_Time_Range.BETWEEN_TIMES.1645423200000.1645419600000.60&amp;application=12&amp;component=39&amp;serviceEndpoint=134</t>
  </si>
  <si>
    <t>http://10.175.1.14:8090/controller/#/location=APP_SERVICE_ENDPOINT_DETAIL&amp;timeRange=Custom_Time_Range.BETWEEN_TIMES.1645423200000.1645419600000.60&amp;application=12&amp;component=39&amp;serviceEndpoint=133</t>
  </si>
  <si>
    <t>http://10.175.1.14:8090/controller/#/location=APP_SERVICE_ENDPOINT_DETAIL&amp;timeRange=Custom_Time_Range.BETWEEN_TIMES.1645423200000.1645419600000.60&amp;application=12&amp;component=39&amp;serviceEndpoint=152</t>
  </si>
  <si>
    <t>http://10.175.1.14:8090/controller/#/location=APP_SERVICE_ENDPOINT_DETAIL&amp;timeRange=Custom_Time_Range.BETWEEN_TIMES.1645423200000.1645419600000.60&amp;application=12&amp;component=39&amp;serviceEndpoint=145</t>
  </si>
  <si>
    <t>/online/bank_smbc.jsp</t>
  </si>
  <si>
    <t>http://10.175.1.14:8090/controller/#/location=APP_SERVICE_ENDPOINT_DETAIL&amp;timeRange=Custom_Time_Range.BETWEEN_TIMES.1645423200000.1645419600000.60&amp;application=12&amp;component=39&amp;serviceEndpoint=144</t>
  </si>
  <si>
    <t>http://10.175.1.14:8090/controller/#/location=APP_SERVICE_ENDPOINT_DETAIL&amp;timeRange=Custom_Time_Range.BETWEEN_TIMES.1645423200000.1645419600000.60&amp;application=12&amp;component=39&amp;serviceEndpoint=130</t>
  </si>
  <si>
    <t>/online/contents</t>
  </si>
  <si>
    <t>http://10.175.1.14:8090/controller/#/location=APP_SERVICE_ENDPOINT_DETAIL&amp;timeRange=Custom_Time_Range.BETWEEN_TIMES.1645423200000.1645419600000.60&amp;application=12&amp;component=39&amp;serviceEndpoint=1947</t>
  </si>
  <si>
    <t>http://10.175.1.14:8090/controller/#/location=APP_SERVICE_ENDPOINT_DETAIL&amp;timeRange=Custom_Time_Range.BETWEEN_TIMES.1645423200000.1645419600000.60&amp;application=12&amp;component=39&amp;serviceEndpoint=111</t>
  </si>
  <si>
    <t>http://10.175.1.14:8090/controller/#/location=APP_SERVICE_ENDPOINT_DETAIL&amp;timeRange=Custom_Time_Range.BETWEEN_TIMES.1645423200000.1645419600000.60&amp;application=12&amp;component=39&amp;serviceEndpoint=121</t>
  </si>
  <si>
    <t>http://10.175.1.14:8090/controller/#/location=APP_SERVICE_ENDPOINT_DETAIL&amp;timeRange=Custom_Time_Range.BETWEEN_TIMES.1645423200000.1645419600000.60&amp;application=12&amp;component=39&amp;serviceEndpoint=92</t>
  </si>
  <si>
    <t>/online/seamless_redirect.jsp</t>
  </si>
  <si>
    <t>http://10.175.1.14:8090/controller/#/location=APP_SERVICE_ENDPOINT_DETAIL&amp;timeRange=Custom_Time_Range.BETWEEN_TIMES.1645423200000.1645419600000.60&amp;application=12&amp;component=39&amp;serviceEndpoint=1948</t>
  </si>
  <si>
    <t>http://10.175.1.14:8090/controller/#/location=APP_SERVICE_ENDPOINT_DETAIL&amp;timeRange=Custom_Time_Range.BETWEEN_TIMES.1645423200000.1645419600000.60&amp;application=12&amp;component=39&amp;serviceEndpoint=221</t>
  </si>
  <si>
    <t>/online/WEB-INF</t>
  </si>
  <si>
    <t>http://10.175.1.14:8090/controller/#/location=APP_SERVICE_ENDPOINT_DETAIL&amp;timeRange=Custom_Time_Range.BETWEEN_TIMES.1645423200000.1645419600000.60&amp;application=12&amp;component=39&amp;serviceEndpoint=93</t>
  </si>
  <si>
    <t>http://10.175.1.14:8090/controller/#/location=APP_SERVICE_ENDPOINT_DETAIL&amp;timeRange=Custom_Time_Range.BETWEEN_TIMES.1645423200000.1645419600000.60&amp;application=12&amp;component=50&amp;serviceEndpoint=2270</t>
  </si>
  <si>
    <t>http://10.175.1.14:8090/controller/#/location=APP_SERVICE_ENDPOINT_DETAIL&amp;timeRange=Custom_Time_Range.BETWEEN_TIMES.1645423200000.1645419600000.60&amp;application=12&amp;component=36&amp;serviceEndpoint=659</t>
  </si>
  <si>
    <t>http://10.175.1.14:8090/controller/#/location=APP_SERVICE_ENDPOINT_DETAIL&amp;timeRange=Custom_Time_Range.BETWEEN_TIMES.1645423200000.1645419600000.60&amp;application=12&amp;component=36&amp;serviceEndpoint=669</t>
  </si>
  <si>
    <t>http://10.175.1.14:8090/controller/#/location=APP_SERVICE_ENDPOINT_DETAIL&amp;timeRange=Custom_Time_Range.BETWEEN_TIMES.1645423200000.1645419600000.60&amp;application=12&amp;component=36&amp;serviceEndpoint=668</t>
  </si>
  <si>
    <t>http://10.175.1.14:8090/controller/#/location=APP_SERVICE_ENDPOINT_DETAIL&amp;timeRange=Custom_Time_Range.BETWEEN_TIMES.1645423200000.1645419600000.60&amp;application=12&amp;component=36&amp;serviceEndpoint=671</t>
  </si>
  <si>
    <t>http://10.175.1.14:8090/controller/#/location=APP_SERVICE_ENDPOINT_DETAIL&amp;timeRange=Custom_Time_Range.BETWEEN_TIMES.1645423200000.1645419600000.60&amp;application=12&amp;component=36&amp;serviceEndpoint=678</t>
  </si>
  <si>
    <t>http://10.175.1.14:8090/controller/#/location=APP_SERVICE_ENDPOINT_DETAIL&amp;timeRange=Custom_Time_Range.BETWEEN_TIMES.1645423200000.1645419600000.60&amp;application=12&amp;component=36&amp;serviceEndpoint=676</t>
  </si>
  <si>
    <t>http://10.175.1.14:8090/controller/#/location=APP_SERVICE_ENDPOINT_DETAIL&amp;timeRange=Custom_Time_Range.BETWEEN_TIMES.1645423200000.1645419600000.60&amp;application=12&amp;component=36&amp;serviceEndpoint=677</t>
  </si>
  <si>
    <t>http://10.175.1.14:8090/controller/#/location=APP_SERVICE_ENDPOINT_DETAIL&amp;timeRange=Custom_Time_Range.BETWEEN_TIMES.1645423200000.1645419600000.60&amp;application=12&amp;component=36&amp;serviceEndpoint=479</t>
  </si>
  <si>
    <t>http://10.175.1.14:8090/controller/#/location=APP_SERVICE_ENDPOINT_DETAIL&amp;timeRange=Custom_Time_Range.BETWEEN_TIMES.1645423200000.1645419600000.60&amp;application=12&amp;component=36&amp;serviceEndpoint=672</t>
  </si>
  <si>
    <t>/reporter/client.jsp</t>
  </si>
  <si>
    <t>http://10.175.1.14:8090/controller/#/location=APP_SERVICE_ENDPOINT_DETAIL&amp;timeRange=Custom_Time_Range.BETWEEN_TIMES.1645423200000.1645419600000.60&amp;application=12&amp;component=42&amp;serviceEndpoint=1189</t>
  </si>
  <si>
    <t>http://10.175.1.14:8090/controller/#/location=APP_SERVICE_ENDPOINT_DETAIL&amp;timeRange=Custom_Time_Range.BETWEEN_TIMES.1645423200000.1645419600000.60&amp;application=12&amp;component=39&amp;serviceEndpoint=1204</t>
  </si>
  <si>
    <t>http://10.175.1.14:8090/controller/#/location=APP_SERVICE_ENDPOINT_DETAIL&amp;timeRange=Custom_Time_Range.BETWEEN_TIMES.1645423200000.1645419600000.60&amp;application=12&amp;component=36&amp;serviceEndpoint=1237</t>
  </si>
  <si>
    <t>/scripts/1mnvanfx.jsp</t>
  </si>
  <si>
    <t>http://10.175.1.14:8090/controller/#/location=APP_SERVICE_ENDPOINT_DETAIL&amp;timeRange=Custom_Time_Range.BETWEEN_TIMES.1645423200000.1645419600000.60&amp;application=12&amp;component=36&amp;serviceEndpoint=1246</t>
  </si>
  <si>
    <t>/scripts/zenworks</t>
  </si>
  <si>
    <t>http://10.175.1.14:8090/controller/#/location=APP_SERVICE_ENDPOINT_DETAIL&amp;timeRange=Custom_Time_Range.BETWEEN_TIMES.1645423200000.1645419600000.60&amp;application=12&amp;component=36&amp;serviceEndpoint=1238</t>
  </si>
  <si>
    <t>/sgdadmin/faces</t>
  </si>
  <si>
    <t>http://10.175.1.14:8090/controller/#/location=APP_SERVICE_ENDPOINT_DETAIL&amp;timeRange=Custom_Time_Range.BETWEEN_TIMES.1645423200000.1645419600000.60&amp;application=12&amp;component=39&amp;serviceEndpoint=1215</t>
  </si>
  <si>
    <t>/spotfire/about.jsp</t>
  </si>
  <si>
    <t>http://10.175.1.14:8090/controller/#/location=APP_SERVICE_ENDPOINT_DETAIL&amp;timeRange=Custom_Time_Range.BETWEEN_TIMES.1645423200000.1645419600000.60&amp;application=12&amp;component=39&amp;serviceEndpoint=1214</t>
  </si>
  <si>
    <t>/st/</t>
  </si>
  <si>
    <t>http://10.175.1.14:8090/controller/#/location=APP_SERVICE_ENDPOINT_DETAIL&amp;timeRange=Custom_Time_Range.BETWEEN_TIMES.1645423200000.1645419600000.60&amp;application=12&amp;component=50&amp;serviceEndpoint=2528</t>
  </si>
  <si>
    <t>http://10.175.1.14:8090/controller/#/location=APP_SERVICE_ENDPOINT_DETAIL&amp;timeRange=Custom_Time_Range.BETWEEN_TIMES.1645423200000.1645419600000.60&amp;application=12&amp;component=38&amp;serviceEndpoint=293</t>
  </si>
  <si>
    <t>/userportal/webpages</t>
  </si>
  <si>
    <t>http://10.175.1.14:8090/controller/#/location=APP_SERVICE_ENDPOINT_DETAIL&amp;timeRange=Custom_Time_Range.BETWEEN_TIMES.1645423200000.1645419600000.60&amp;application=12&amp;component=42&amp;serviceEndpoint=1185</t>
  </si>
  <si>
    <t>http://10.175.1.14:8090/controller/#/location=APP_SERVICE_ENDPOINT_DETAIL&amp;timeRange=Custom_Time_Range.BETWEEN_TIMES.1645423200000.1645419600000.60&amp;application=12&amp;component=39&amp;serviceEndpoint=1200</t>
  </si>
  <si>
    <t>http://10.175.1.14:8090/controller/#/location=APP_SERVICE_ENDPOINT_DETAIL&amp;timeRange=Custom_Time_Range.BETWEEN_TIMES.1645423200000.1645419600000.60&amp;application=12&amp;component=36&amp;serviceEndpoint=1234</t>
  </si>
  <si>
    <t>/vr4l7s8f.jsp</t>
  </si>
  <si>
    <t>http://10.175.1.14:8090/controller/#/location=APP_SERVICE_ENDPOINT_DETAIL&amp;timeRange=Custom_Time_Range.BETWEEN_TIMES.1645423200000.1645419600000.60&amp;application=12&amp;component=39&amp;serviceEndpoint=1203</t>
  </si>
  <si>
    <t>/webconsole/webpages</t>
  </si>
  <si>
    <t>http://10.175.1.14:8090/controller/#/location=APP_SERVICE_ENDPOINT_DETAIL&amp;timeRange=Custom_Time_Range.BETWEEN_TIMES.1645423200000.1645419600000.60&amp;application=12&amp;component=42&amp;serviceEndpoint=1188</t>
  </si>
  <si>
    <t>http://10.175.1.14:8090/controller/#/location=APP_SERVICE_ENDPOINT_DETAIL&amp;timeRange=Custom_Time_Range.BETWEEN_TIMES.1645423200000.1645419600000.60&amp;application=12&amp;component=39&amp;serviceEndpoint=1202</t>
  </si>
  <si>
    <t>http://10.175.1.14:8090/controller/#/location=APP_SERVICE_ENDPOINT_DETAIL&amp;timeRange=Custom_Time_Range.BETWEEN_TIMES.1645423200000.1645419600000.60&amp;application=12&amp;component=36&amp;serviceEndpoint=1236</t>
  </si>
  <si>
    <t>http://10.175.1.14:8090/controller/#/location=APP_SERVICE_ENDPOINT_DETAIL&amp;timeRange=Custom_Time_Range.BETWEEN_TIMES.1645423200000.1645419600000.60&amp;application=12&amp;component=42&amp;serviceEndpoint=162</t>
  </si>
  <si>
    <t>http://10.175.1.14:8090/controller/#/location=APP_SERVICE_ENDPOINT_DETAIL&amp;timeRange=Custom_Time_Range.BETWEEN_TIMES.1645423200000.1645419600000.60&amp;application=12&amp;component=39&amp;serviceEndpoint=355</t>
  </si>
  <si>
    <t>http://10.175.1.14:8090/controller/#/location=APP_SERVICE_ENDPOINT_DETAIL&amp;timeRange=Custom_Time_Range.BETWEEN_TIMES.1645423200000.1645419600000.60&amp;application=12&amp;component=40&amp;serviceEndpoint=874</t>
  </si>
  <si>
    <t>http://10.175.1.14:8090/controller/#/location=APP_SERVICE_ENDPOINT_DETAIL&amp;timeRange=Custom_Time_Range.BETWEEN_TIMES.1645423200000.1645419600000.60&amp;application=12&amp;component=49&amp;serviceEndpoint=2535</t>
  </si>
  <si>
    <t>/weblogic/index.jsp</t>
  </si>
  <si>
    <t>http://10.175.1.14:8090/controller/#/location=APP_SERVICE_ENDPOINT_DETAIL&amp;timeRange=Custom_Time_Range.BETWEEN_TIMES.1645423200000.1645419600000.60&amp;application=12&amp;component=36&amp;serviceEndpoint=1230</t>
  </si>
  <si>
    <t>http://10.175.1.14:8090/controller/#/location=APP_SERVICE_ENDPOINT_DETAIL&amp;timeRange=Custom_Time_Range.BETWEEN_TIMES.1645423200000.1645419600000.60&amp;application=12&amp;component=37&amp;serviceEndpoint=1232</t>
  </si>
  <si>
    <t>http://10.175.1.14:8090/controller/#/location=APP_SERVICE_ENDPOINT_DETAIL&amp;timeRange=Custom_Time_Range.BETWEEN_TIMES.1645423200000.1645419600000.60&amp;application=12&amp;component=38&amp;serviceEndpoint=1233</t>
  </si>
  <si>
    <t>http://10.175.1.14:8090/controller/#/location=APP_SERVICE_ENDPOINT_DETAIL&amp;timeRange=Custom_Time_Range.BETWEEN_TIMES.1645423200000.1645419600000.60&amp;application=12&amp;component=43&amp;serviceEndpoint=1218</t>
  </si>
  <si>
    <t>http://10.175.1.14:8090/controller/#/location=APP_SERVICE_ENDPOINT_DETAIL&amp;timeRange=Custom_Time_Range.BETWEEN_TIMES.1645423200000.1645419600000.60&amp;application=12&amp;component=55&amp;serviceEndpoint=3055</t>
  </si>
  <si>
    <t>/WebServiceImpl/axis2-web</t>
  </si>
  <si>
    <t>http://10.175.1.14:8090/controller/#/location=APP_SERVICE_ENDPOINT_DETAIL&amp;timeRange=Custom_Time_Range.BETWEEN_TIMES.1645423200000.1645419600000.60&amp;application=12&amp;component=36&amp;serviceEndpoint=1249</t>
  </si>
  <si>
    <t>http://10.175.1.14:8090/controller/#/location=APP_SERVICE_ENDPOINT_DETAIL&amp;timeRange=Custom_Time_Range.BETWEEN_TIMES.1645423200000.1645419600000.60&amp;application=12&amp;component=39&amp;serviceEndpoint=208</t>
  </si>
  <si>
    <t>http://10.175.1.14:8090/controller/#/location=APP_SERVICE_ENDPOINT_DETAIL&amp;timeRange=Custom_Time_Range.BETWEEN_TIMES.1645423200000.1645419600000.60&amp;application=12&amp;component=39&amp;serviceEndpoint=129</t>
  </si>
  <si>
    <t>http://10.175.1.14:8090/controller/#/location=APP_SERVICE_ENDPOINT_DETAIL&amp;timeRange=Custom_Time_Range.BETWEEN_TIMES.1645423200000.1645419600000.60&amp;application=12&amp;component=39&amp;serviceEndpoint=126</t>
  </si>
  <si>
    <t>http://10.175.1.14:8090/controller/#/location=APP_SERVICE_ENDPOINT_DETAIL&amp;timeRange=Custom_Time_Range.BETWEEN_TIMES.1645423200000.1645419600000.60&amp;application=12&amp;component=50&amp;serviceEndpoint=2252</t>
  </si>
  <si>
    <t>http://10.175.1.14:8090/controller/#/location=APP_SERVICE_ENDPOINT_DETAIL&amp;timeRange=Custom_Time_Range.BETWEEN_TIMES.1645423200000.1645419600000.60&amp;application=12&amp;component=39&amp;serviceEndpoint=128</t>
  </si>
  <si>
    <t>http://10.175.1.14:8090/controller/#/location=APP_SERVICE_ENDPOINT_DETAIL&amp;timeRange=Custom_Time_Range.BETWEEN_TIMES.1645423200000.1645419600000.60&amp;application=12&amp;component=39&amp;serviceEndpoint=142</t>
  </si>
  <si>
    <t>http://10.175.1.14:8090/controller/#/location=APP_SERVICE_ENDPOINT_DETAIL&amp;timeRange=Custom_Time_Range.BETWEEN_TIMES.1645423200000.1645419600000.60&amp;application=12&amp;component=39&amp;serviceEndpoint=135</t>
  </si>
  <si>
    <t>http://10.175.1.14:8090/controller/#/location=APP_SERVICE_ENDPOINT_DETAIL&amp;timeRange=Custom_Time_Range.BETWEEN_TIMES.1645423200000.1645419600000.60&amp;application=12&amp;component=39&amp;serviceEndpoint=127</t>
  </si>
  <si>
    <t>/wins/SystemDate.jsp</t>
  </si>
  <si>
    <t>http://10.175.1.14:8090/controller/#/location=APP_SERVICE_ENDPOINT_DETAIL&amp;timeRange=Custom_Time_Range.BETWEEN_TIMES.1645423200000.1645419600000.60&amp;application=12&amp;component=39&amp;serviceEndpoint=141</t>
  </si>
  <si>
    <t>http://10.175.1.14:8090/controller/#/location=APP_SERVICE_ENDPOINT_DETAIL&amp;timeRange=Custom_Time_Range.BETWEEN_TIMES.1645423200000.1645419600000.60&amp;application=12&amp;component=39&amp;serviceEndpoint=156</t>
  </si>
  <si>
    <t>http://10.175.1.14:8090/controller/#/location=APP_SERVICE_ENDPOINT_DETAIL&amp;timeRange=Custom_Time_Range.BETWEEN_TIMES.1645423200000.1645419600000.60&amp;application=12&amp;component=39&amp;serviceEndpoint=158</t>
  </si>
  <si>
    <t>http://10.175.1.14:8090/controller/#/location=APP_SERVICE_ENDPOINT_DETAIL&amp;timeRange=Custom_Time_Range.BETWEEN_TIMES.1645423200000.1645419600000.60&amp;application=12&amp;component=39&amp;serviceEndpoint=157</t>
  </si>
  <si>
    <t>http://10.175.1.14:8090/controller/#/location=APP_SERVICE_ENDPOINT_DETAIL&amp;timeRange=Custom_Time_Range.BETWEEN_TIMES.1645423200000.1645419600000.60&amp;application=12&amp;component=39&amp;serviceEndpoint=125</t>
  </si>
  <si>
    <t>http://10.175.1.14:8090/controller/#/location=APP_SERVICE_ENDPOINT_DETAIL&amp;timeRange=Custom_Time_Range.BETWEEN_TIMES.1645423200000.1645419600000.60&amp;application=12&amp;component=50&amp;serviceEndpoint=2251</t>
  </si>
  <si>
    <t>/zenworks/jsp</t>
  </si>
  <si>
    <t>http://10.175.1.14:8090/controller/#/location=APP_SERVICE_ENDPOINT_DETAIL&amp;timeRange=Custom_Time_Range.BETWEEN_TIMES.1645423200000.1645419600000.60&amp;application=12&amp;component=36&amp;serviceEndpoint=1244</t>
  </si>
  <si>
    <t>CommThread</t>
  </si>
  <si>
    <t>ASYNC</t>
  </si>
  <si>
    <t>http://10.175.1.14:8090/controller/#/location=APP_SERVICE_ENDPOINT_DETAIL&amp;timeRange=Custom_Time_Range.BETWEEN_TIMES.1645423200000.1645419600000.60&amp;application=12&amp;component=42&amp;serviceEndpoint=193</t>
  </si>
  <si>
    <t>ServiceProcess</t>
  </si>
  <si>
    <t>http://10.175.1.14:8090/controller/#/location=APP_SERVICE_ENDPOINT_DETAIL&amp;timeRange=Custom_Time_Range.BETWEEN_TIMES.1645423200000.1645419600000.60&amp;application=12&amp;component=42&amp;serviceEndpoint=223</t>
  </si>
  <si>
    <t>WlcFgw7RecoveryExecuter:WlcFgwJmsMessageRecoveryQueue</t>
  </si>
  <si>
    <t>http://10.175.1.14:8090/controller/#/location=APP_SERVICE_ENDPOINT_DETAIL&amp;timeRange=Custom_Time_Range.BETWEEN_TIMES.1645423200000.1645419600000.60&amp;application=12&amp;component=43&amp;serviceEndpoint=436</t>
  </si>
  <si>
    <t>http://10.175.1.14:8090/controller/#/location=APP_SERVICE_ENDPOINT_DETAIL&amp;timeRange=Custom_Time_Range.BETWEEN_TIMES.1645423200000.1645419600000.60&amp;application=12&amp;component=55&amp;serviceEndpoint=3184</t>
  </si>
  <si>
    <t>ErrorName</t>
  </si>
  <si>
    <t>ErrorType</t>
  </si>
  <si>
    <t>ErrorID</t>
  </si>
  <si>
    <t>ErrorLink</t>
  </si>
  <si>
    <t>IPName</t>
  </si>
  <si>
    <t>IPType</t>
  </si>
  <si>
    <t>IPID</t>
  </si>
  <si>
    <t>IPLink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</si>
</sst>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3">
    <xf numFmtId="0" applyNumberFormat="1" fontId="0" applyFont="1" xfId="0" applyProtection="1"/>
    <xf numFmtId="0" applyNumberFormat="1" fontId="1" applyFont="1" xfId="1" applyProtection="1"/>
    <xf numFmtId="164" applyNumberFormat="1" fontId="0" applyFont="1" xfId="0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worksheet" Target="worksheets/sheet26.xml"/><Relationship Id="rId28" Type="http://schemas.openxmlformats.org/officeDocument/2006/relationships/worksheet" Target="worksheets/sheet27.xml"/><Relationship Id="rId29" Type="http://schemas.openxmlformats.org/officeDocument/2006/relationships/worksheet" Target="worksheets/sheet28.xml"/><Relationship Id="rId30" Type="http://schemas.openxmlformats.org/officeDocument/2006/relationships/worksheet" Target="worksheets/sheet29.xml"/><Relationship Id="rId31" Type="http://schemas.openxmlformats.org/officeDocument/2006/relationships/pivotCacheDefinition" Target="/xl/pivotCache/pivotCacheDefinition1.xml"/><Relationship Id="rId32" Type="http://schemas.openxmlformats.org/officeDocument/2006/relationships/pivotCacheDefinition" Target="/xl/pivotCache/pivotCacheDefinition2.xml"/><Relationship Id="rId33" Type="http://schemas.openxmlformats.org/officeDocument/2006/relationships/pivotCacheDefinition" Target="/xl/pivotCache/pivotCacheDefinition3.xml"/><Relationship Id="rId34" Type="http://schemas.openxmlformats.org/officeDocument/2006/relationships/pivotCacheDefinition" Target="/xl/pivotCache/pivotCacheDefinition4.xml"/><Relationship Id="rId35" Type="http://schemas.openxmlformats.org/officeDocument/2006/relationships/pivotCacheDefinition" Target="/xl/pivotCache/pivotCacheDefinition5.xml"/><Relationship Id="rId36" Type="http://schemas.openxmlformats.org/officeDocument/2006/relationships/pivotCacheDefinition" Target="/xl/pivotCache/pivotCacheDefinition6.xml"/><Relationship Id="rId37" Type="http://schemas.openxmlformats.org/officeDocument/2006/relationships/pivotCacheDefinition" Target="/xl/pivotCache/pivotCacheDefinition7.xml"/><Relationship Id="rId38" Type="http://schemas.openxmlformats.org/officeDocument/2006/relationships/pivotCacheDefinition" Target="/xl/pivotCache/pivotCacheDefinition8.xml"/><Relationship Id="rId3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[]5.Tiers.Availability!p_TiersAvailability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lineChart>
        <c:grouping val="standar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cat>
            <c:multiLvlStrRef>
              <c:f>'5.Tiers.Availability'!$A$22</c:f>
            </c:multiLvlStrRef>
          </c:cat>
          <c:val>
            <c:numRef>
              <c:f>'5.Tiers.Availability'!$B$22</c:f>
              <c:numCache>General</c:numCache>
            </c:numRef>
          </c:val>
          <c:smooth val="0"/>
        </ser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pivotSource xmlns="http://schemas.openxmlformats.org/drawingml/2006/chart">
    <c:name>[]6.Nodes.Availability!p_NodesAvailability</c:name>
    <c:fmtId val="0"/>
  </pivotSource>
  <c:chart>
    <pivotFmts xmlns="http://schemas.openxmlformats.org/drawingml/2006/chart">
      <c:pivotFmt>
        <c:idx val="0"/>
        <c:marker>
          <c:symbol val="none"/>
        </c:marker>
      </c:pivotFmt>
    </pivotFmts>
    <c:plotArea>
      <c:layout/>
      <c:lineChart>
        <c:grouping val="standard"/>
        <c:varyColors val="0"/>
        <ser xmlns="http://schemas.openxmlformats.org/drawingml/2006/chart">
          <c:idx val="0"/>
          <c:order val="0"/>
          <c:tx>
            <c:strRef>
              <c:f>
              </c:f>
              <c:strCache>
                <c:ptCount val="1"/>
              </c:strCache>
            </c:strRef>
          </c:tx>
          <c:marker>
            <c:symbol val="none"/>
          </c:marker>
          <c:cat>
            <c:multiLvlStrRef>
              <c:f>'6.Nodes.Availability'!$A$24</c:f>
            </c:multiLvlStrRef>
          </c:cat>
          <c:val>
            <c:numRef>
              <c:f>'6.Nodes.Availability'!$B$24</c:f>
              <c:numCache>General</c:numCache>
            </c:numRef>
          </c:val>
          <c:smooth val="0"/>
        </ser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ckLblPos val="nextTo"/>
        <c:crossAx val="2"/>
        <c:crosses val="autoZero"/>
        <c:auto val="1"/>
        <c:lblAlgn val="ctr"/>
        <c:lblOffset val="100"/>
      </c:catAx>
      <c:valAx>
        <c:axId val="2"/>
        <c:scaling>
          <c:orientation val="minMax"/>
        </c:scaling>
        <c:delete val="0"/>
        <c:axPos val="l"/>
        <c:majorGridlines/>
        <c:tickLblPos val="nextTo"/>
        <c:crossAx val="1"/>
        <c:crosses val="autoZero"/>
        <c:crossBetween val="between"/>
      </c:valAx>
    </c:plotArea>
    <c:legend>
      <c:legendPos val="r"/>
      <c:layout/>
      <c:overlay val="0"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chart" Target="../charts/chart2.xml"/></Relationships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0" name="g_TiersAvailabilit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12</xdr:col>
      <xdr:colOff>304800</xdr:colOff>
      <xdr:row>17</xdr:row>
      <xdr:rowOff>0</xdr:rowOff>
    </xdr:to>
    <graphicFrame xmlns="http://schemas.openxmlformats.org/drawingml/2006/spreadsheetDrawing" macro="">
      <xdr:nvGraphicFramePr>
        <xdr:cNvPr id="1" name="g_NodesAvailability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 xmlns="http://schemas.openxmlformats.org/drawingml/2006/spreadsheetDrawing"/>
  </xdr:twoCellAnchor>
</xdr:wsDr>
</file>

<file path=xl/pivotCache/_rels/pivotCacheDefinition1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1.xml"/></Relationships>
</file>

<file path=xl/pivotCache/_rels/pivotCacheDefinition2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2.xml"/></Relationships>
</file>

<file path=xl/pivotCache/_rels/pivotCacheDefinition3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3.xml"/></Relationships>
</file>

<file path=xl/pivotCache/_rels/pivotCacheDefinition4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4.xml"/></Relationships>
</file>

<file path=xl/pivotCache/_rels/pivotCacheDefinition5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5.xml"/></Relationships>
</file>

<file path=xl/pivotCache/_rels/pivotCacheDefinition6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6.xml"/></Relationships>
</file>

<file path=xl/pivotCache/_rels/pivotCacheDefinition7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7.xml"/></Relationships>
</file>

<file path=xl/pivotCache/_rels/pivotCacheDefinition8.xml.rels><?xml version="1.0" encoding="UTF-8" standalone="yes"?><Relationships xmlns="http://schemas.openxmlformats.org/package/2006/relationships"><Relationship Id="rId1" Type="http://schemas.openxmlformats.org/officeDocument/2006/relationships/pivotCacheRecords" Target="/xl/pivotCache/pivotCacheRecords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4.Applications.Hourly" name="t_Applications_Hourly"/>
  </cacheSource>
  <cacheFields count="28">
    <cacheField name="Controller" numFmtId="0">
      <sharedItems containsBlank="1"/>
    </cacheField>
    <cacheField name="ApplicationNam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xceptions" numFmtId="0">
      <sharedItems containsBlank="1"/>
    </cacheField>
    <cacheField name="EXCPM" numFmtId="0">
      <sharedItems containsBlank="1"/>
    </cacheField>
    <cacheField name="HttpErrors" numFmtId="0">
      <sharedItems containsBlank="1"/>
    </cacheField>
    <cacheField name="HTTPEPM" numFmtId="0">
      <sharedItems containsBlank="1"/>
    </cacheField>
    <cacheField name="ErrorsPercentage" numFmtId="0">
      <sharedItems containsBlank="1"/>
    </cacheField>
    <cacheField name="HasActivity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MetricLink" numFmtId="0">
      <sharedItems containsBlank="1"/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5.Tiers.Hourly" name="t_Tiers_Hourly"/>
  </cacheSource>
  <cacheFields count="36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TierType" numFmtId="0">
      <sharedItems containsBlank="1"/>
    </cacheField>
    <cacheField name="Agent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xceptions" numFmtId="0">
      <sharedItems containsBlank="1"/>
    </cacheField>
    <cacheField name="EXCPM" numFmtId="0">
      <sharedItems containsBlank="1"/>
    </cacheField>
    <cacheField name="HttpErrors" numFmtId="0">
      <sharedItems containsBlank="1"/>
    </cacheField>
    <cacheField name="HTTPEPM" numFmtId="0">
      <sharedItems containsBlank="1"/>
    </cacheField>
    <cacheField name="ErrorsPercentage" numFmtId="0">
      <sharedItems containsBlank="1"/>
    </cacheField>
    <cacheField name="NumNodes" numFmtId="0">
      <sharedItems containsBlank="1"/>
    </cacheField>
    <cacheField name="AvailAgent" numFmtId="0">
      <sharedItems containsBlank="1"/>
    </cacheField>
    <cacheField name="AvailMachine" numFmtId="0">
      <sharedItems containsBlank="1"/>
    </cacheField>
    <cacheField name="HasActivity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MetricLink" numFmtId="0">
      <sharedItems containsBlank="1"/>
    </cacheField>
  </cacheFields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5.Tiers.Hourly" name="t_Tiers_Hourly"/>
  </cacheSource>
  <cacheFields count="36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TierType" numFmtId="0">
      <sharedItems containsBlank="1"/>
    </cacheField>
    <cacheField name="Agent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xceptions" numFmtId="0">
      <sharedItems containsBlank="1"/>
    </cacheField>
    <cacheField name="EXCPM" numFmtId="0">
      <sharedItems containsBlank="1"/>
    </cacheField>
    <cacheField name="HttpErrors" numFmtId="0">
      <sharedItems containsBlank="1"/>
    </cacheField>
    <cacheField name="HTTPEPM" numFmtId="0">
      <sharedItems containsBlank="1"/>
    </cacheField>
    <cacheField name="ErrorsPercentage" numFmtId="0">
      <sharedItems containsBlank="1"/>
    </cacheField>
    <cacheField name="NumNodes" numFmtId="0">
      <sharedItems containsBlank="1"/>
    </cacheField>
    <cacheField name="AvailAgent" numFmtId="0">
      <sharedItems containsBlank="1"/>
    </cacheField>
    <cacheField name="AvailMachine" numFmtId="0">
      <sharedItems containsBlank="1"/>
    </cacheField>
    <cacheField name="HasActivity" numFmtId="0">
      <sharedItems containsBlank="1"/>
    </cacheField>
    <cacheField name="From" numFmtId="0">
      <sharedItems containsBlank="1" containsDate="1" containsNonDate="0" containsSemiMixedTypes="0"/>
      <fieldGroup base="21" par="37">
        <rangePr groupBy="hours" startDate="1900-01-01T00:00:00" endDate="9999-12-31T00:00:00"/>
        <groupItems>
          <s v="&lt;0001-01-01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9999-12-31"/>
        </groupItems>
      </fieldGroup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MetricLink" numFmtId="0">
      <sharedItems containsBlank="1"/>
    </cacheField>
    <cacheField name="Days" databaseField="0">
      <sharedItems containsDate="1" containsNonDate="0" containsSemiMixedTypes="0"/>
      <fieldGroup base="21">
        <rangePr groupBy="days" startDate="1900-01-01T00:00:00" endDate="9999-12-31T00:00:00"/>
        <groupItems>
          <s v="&lt;0001-01-01"/>
          <s v="01-1"/>
          <s v="02-1"/>
          <s v="03-1"/>
          <s v="04-1"/>
          <s v="05-1"/>
          <s v="06-1"/>
          <s v="07-1"/>
          <s v="08-1"/>
          <s v="09-1"/>
          <s v="10-1"/>
          <s v="11-1"/>
          <s v="12-1"/>
          <s v="13-1"/>
          <s v="14-1"/>
          <s v="15-1"/>
          <s v="16-1"/>
          <s v="17-1"/>
          <s v="18-1"/>
          <s v="19-1"/>
          <s v="20-1"/>
          <s v="21-1"/>
          <s v="22-1"/>
          <s v="23-1"/>
          <s v="24-1"/>
          <s v="25-1"/>
          <s v="26-1"/>
          <s v="27-1"/>
          <s v="28-1"/>
          <s v="29-1"/>
          <s v="30-1"/>
          <s v="31-1"/>
          <s v="01-2"/>
          <s v="02-2"/>
          <s v="03-2"/>
          <s v="04-2"/>
          <s v="05-2"/>
          <s v="06-2"/>
          <s v="07-2"/>
          <s v="08-2"/>
          <s v="09-2"/>
          <s v="10-2"/>
          <s v="11-2"/>
          <s v="12-2"/>
          <s v="13-2"/>
          <s v="14-2"/>
          <s v="15-2"/>
          <s v="16-2"/>
          <s v="17-2"/>
          <s v="18-2"/>
          <s v="19-2"/>
          <s v="20-2"/>
          <s v="21-2"/>
          <s v="22-2"/>
          <s v="23-2"/>
          <s v="24-2"/>
          <s v="25-2"/>
          <s v="26-2"/>
          <s v="27-2"/>
          <s v="28-2"/>
          <s v="29-2"/>
          <s v="01-3"/>
          <s v="02-3"/>
          <s v="03-3"/>
          <s v="04-3"/>
          <s v="05-3"/>
          <s v="06-3"/>
          <s v="07-3"/>
          <s v="08-3"/>
          <s v="09-3"/>
          <s v="10-3"/>
          <s v="11-3"/>
          <s v="12-3"/>
          <s v="13-3"/>
          <s v="14-3"/>
          <s v="15-3"/>
          <s v="16-3"/>
          <s v="17-3"/>
          <s v="18-3"/>
          <s v="19-3"/>
          <s v="20-3"/>
          <s v="21-3"/>
          <s v="22-3"/>
          <s v="23-3"/>
          <s v="24-3"/>
          <s v="25-3"/>
          <s v="26-3"/>
          <s v="27-3"/>
          <s v="28-3"/>
          <s v="29-3"/>
          <s v="30-3"/>
          <s v="31-3"/>
          <s v="01-4"/>
          <s v="02-4"/>
          <s v="03-4"/>
          <s v="04-4"/>
          <s v="05-4"/>
          <s v="06-4"/>
          <s v="07-4"/>
          <s v="08-4"/>
          <s v="09-4"/>
          <s v="10-4"/>
          <s v="11-4"/>
          <s v="12-4"/>
          <s v="13-4"/>
          <s v="14-4"/>
          <s v="15-4"/>
          <s v="16-4"/>
          <s v="17-4"/>
          <s v="18-4"/>
          <s v="19-4"/>
          <s v="20-4"/>
          <s v="21-4"/>
          <s v="22-4"/>
          <s v="23-4"/>
          <s v="24-4"/>
          <s v="25-4"/>
          <s v="26-4"/>
          <s v="27-4"/>
          <s v="28-4"/>
          <s v="29-4"/>
          <s v="30-4"/>
          <s v="01-5"/>
          <s v="02-5"/>
          <s v="03-5"/>
          <s v="04-5"/>
          <s v="05-5"/>
          <s v="06-5"/>
          <s v="07-5"/>
          <s v="08-5"/>
          <s v="09-5"/>
          <s v="10-5"/>
          <s v="11-5"/>
          <s v="12-5"/>
          <s v="13-5"/>
          <s v="14-5"/>
          <s v="15-5"/>
          <s v="16-5"/>
          <s v="17-5"/>
          <s v="18-5"/>
          <s v="19-5"/>
          <s v="20-5"/>
          <s v="21-5"/>
          <s v="22-5"/>
          <s v="23-5"/>
          <s v="24-5"/>
          <s v="25-5"/>
          <s v="26-5"/>
          <s v="27-5"/>
          <s v="28-5"/>
          <s v="29-5"/>
          <s v="30-5"/>
          <s v="31-5"/>
          <s v="01-6"/>
          <s v="02-6"/>
          <s v="03-6"/>
          <s v="04-6"/>
          <s v="05-6"/>
          <s v="06-6"/>
          <s v="07-6"/>
          <s v="08-6"/>
          <s v="09-6"/>
          <s v="10-6"/>
          <s v="11-6"/>
          <s v="12-6"/>
          <s v="13-6"/>
          <s v="14-6"/>
          <s v="15-6"/>
          <s v="16-6"/>
          <s v="17-6"/>
          <s v="18-6"/>
          <s v="19-6"/>
          <s v="20-6"/>
          <s v="21-6"/>
          <s v="22-6"/>
          <s v="23-6"/>
          <s v="24-6"/>
          <s v="25-6"/>
          <s v="26-6"/>
          <s v="27-6"/>
          <s v="28-6"/>
          <s v="29-6"/>
          <s v="30-6"/>
          <s v="01-7"/>
          <s v="02-7"/>
          <s v="03-7"/>
          <s v="04-7"/>
          <s v="05-7"/>
          <s v="06-7"/>
          <s v="07-7"/>
          <s v="08-7"/>
          <s v="09-7"/>
          <s v="10-7"/>
          <s v="11-7"/>
          <s v="12-7"/>
          <s v="13-7"/>
          <s v="14-7"/>
          <s v="15-7"/>
          <s v="16-7"/>
          <s v="17-7"/>
          <s v="18-7"/>
          <s v="19-7"/>
          <s v="20-7"/>
          <s v="21-7"/>
          <s v="22-7"/>
          <s v="23-7"/>
          <s v="24-7"/>
          <s v="25-7"/>
          <s v="26-7"/>
          <s v="27-7"/>
          <s v="28-7"/>
          <s v="29-7"/>
          <s v="30-7"/>
          <s v="31-7"/>
          <s v="01-8"/>
          <s v="02-8"/>
          <s v="03-8"/>
          <s v="04-8"/>
          <s v="05-8"/>
          <s v="06-8"/>
          <s v="07-8"/>
          <s v="08-8"/>
          <s v="09-8"/>
          <s v="10-8"/>
          <s v="11-8"/>
          <s v="12-8"/>
          <s v="13-8"/>
          <s v="14-8"/>
          <s v="15-8"/>
          <s v="16-8"/>
          <s v="17-8"/>
          <s v="18-8"/>
          <s v="19-8"/>
          <s v="20-8"/>
          <s v="21-8"/>
          <s v="22-8"/>
          <s v="23-8"/>
          <s v="24-8"/>
          <s v="25-8"/>
          <s v="26-8"/>
          <s v="27-8"/>
          <s v="28-8"/>
          <s v="29-8"/>
          <s v="30-8"/>
          <s v="31-8"/>
          <s v="01-9"/>
          <s v="02-9"/>
          <s v="03-9"/>
          <s v="04-9"/>
          <s v="05-9"/>
          <s v="06-9"/>
          <s v="07-9"/>
          <s v="08-9"/>
          <s v="09-9"/>
          <s v="10-9"/>
          <s v="11-9"/>
          <s v="12-9"/>
          <s v="13-9"/>
          <s v="14-9"/>
          <s v="15-9"/>
          <s v="16-9"/>
          <s v="17-9"/>
          <s v="18-9"/>
          <s v="19-9"/>
          <s v="20-9"/>
          <s v="21-9"/>
          <s v="22-9"/>
          <s v="23-9"/>
          <s v="24-9"/>
          <s v="25-9"/>
          <s v="26-9"/>
          <s v="27-9"/>
          <s v="28-9"/>
          <s v="29-9"/>
          <s v="30-9"/>
          <s v="01-10"/>
          <s v="02-10"/>
          <s v="03-10"/>
          <s v="04-10"/>
          <s v="05-10"/>
          <s v="06-10"/>
          <s v="07-10"/>
          <s v="08-10"/>
          <s v="09-10"/>
          <s v="10-10"/>
          <s v="11-10"/>
          <s v="12-10"/>
          <s v="13-10"/>
          <s v="14-10"/>
          <s v="15-10"/>
          <s v="16-10"/>
          <s v="17-10"/>
          <s v="18-10"/>
          <s v="19-10"/>
          <s v="20-10"/>
          <s v="21-10"/>
          <s v="22-10"/>
          <s v="23-10"/>
          <s v="24-10"/>
          <s v="25-10"/>
          <s v="26-10"/>
          <s v="27-10"/>
          <s v="28-10"/>
          <s v="29-10"/>
          <s v="30-10"/>
          <s v="31-10"/>
          <s v="01-11"/>
          <s v="02-11"/>
          <s v="03-11"/>
          <s v="04-11"/>
          <s v="05-11"/>
          <s v="06-11"/>
          <s v="07-11"/>
          <s v="08-11"/>
          <s v="09-11"/>
          <s v="10-11"/>
          <s v="11-11"/>
          <s v="12-11"/>
          <s v="13-11"/>
          <s v="14-11"/>
          <s v="15-11"/>
          <s v="16-11"/>
          <s v="17-11"/>
          <s v="18-11"/>
          <s v="19-11"/>
          <s v="20-11"/>
          <s v="21-11"/>
          <s v="22-11"/>
          <s v="23-11"/>
          <s v="24-11"/>
          <s v="25-11"/>
          <s v="26-11"/>
          <s v="27-11"/>
          <s v="28-11"/>
          <s v="29-11"/>
          <s v="30-11"/>
          <s v="01-12"/>
          <s v="02-12"/>
          <s v="03-12"/>
          <s v="04-12"/>
          <s v="05-12"/>
          <s v="06-12"/>
          <s v="07-12"/>
          <s v="08-12"/>
          <s v="09-12"/>
          <s v="10-12"/>
          <s v="11-12"/>
          <s v="12-12"/>
          <s v="13-12"/>
          <s v="14-12"/>
          <s v="15-12"/>
          <s v="16-12"/>
          <s v="17-12"/>
          <s v="18-12"/>
          <s v="19-12"/>
          <s v="20-12"/>
          <s v="21-12"/>
          <s v="22-12"/>
          <s v="23-12"/>
          <s v="24-12"/>
          <s v="25-12"/>
          <s v="26-12"/>
          <s v="27-12"/>
          <s v="28-12"/>
          <s v="29-12"/>
          <s v="30-12"/>
          <s v="31-12"/>
          <s v="&gt;9999-12-31"/>
        </groupItems>
      </fieldGroup>
    </cacheField>
    <cacheField name="Months" databaseField="0">
      <sharedItems containsDate="1" containsNonDate="0" containsSemiMixedTypes="0"/>
      <fieldGroup base="21">
        <rangePr groupBy="months" startDate="1900-01-01T00:00:00" endDate="9999-12-31T00:00:00"/>
        <groupItems>
          <s v="&lt;0001-01-0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9999-12-31"/>
        </groupItems>
      </fieldGroup>
    </cacheField>
  </cacheFields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6.Nodes.Hourly" name="t_Nodes_Hourly"/>
  </cacheSource>
  <cacheFields count="39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xceptions" numFmtId="0">
      <sharedItems containsBlank="1"/>
    </cacheField>
    <cacheField name="EXCPM" numFmtId="0">
      <sharedItems containsBlank="1"/>
    </cacheField>
    <cacheField name="HttpErrors" numFmtId="0">
      <sharedItems containsBlank="1"/>
    </cacheField>
    <cacheField name="HTTPEPM" numFmtId="0">
      <sharedItems containsBlank="1"/>
    </cacheField>
    <cacheField name="ErrorsPercentage" numFmtId="0">
      <sharedItems containsBlank="1"/>
    </cacheField>
    <cacheField name="AvailAgent" numFmtId="0">
      <sharedItems containsBlank="1"/>
    </cacheField>
    <cacheField name="AvailMachine" numFmtId="0">
      <sharedItems containsBlank="1"/>
    </cacheField>
    <cacheField name="HasActivity" numFmtId="0">
      <sharedItems containsBlank="1"/>
    </cacheField>
    <cacheField name="IsAPMAgentUsed" numFmtId="0">
      <sharedItems containsBlank="1"/>
    </cacheField>
    <cacheField name="IsMachineAgentUsed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  <cacheField name="MetricLink" numFmtId="0">
      <sharedItems containsBlank="1"/>
    </cacheField>
  </cacheFields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6.Nodes.Hourly" name="t_Nodes_Hourly"/>
  </cacheSource>
  <cacheFields count="39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NodeName" numFmtId="0">
      <sharedItems containsBlank="1"/>
    </cacheField>
    <cacheField name="Agent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xceptions" numFmtId="0">
      <sharedItems containsBlank="1"/>
    </cacheField>
    <cacheField name="EXCPM" numFmtId="0">
      <sharedItems containsBlank="1"/>
    </cacheField>
    <cacheField name="HttpErrors" numFmtId="0">
      <sharedItems containsBlank="1"/>
    </cacheField>
    <cacheField name="HTTPEPM" numFmtId="0">
      <sharedItems containsBlank="1"/>
    </cacheField>
    <cacheField name="ErrorsPercentage" numFmtId="0">
      <sharedItems containsBlank="1"/>
    </cacheField>
    <cacheField name="AvailAgent" numFmtId="0">
      <sharedItems containsBlank="1"/>
    </cacheField>
    <cacheField name="AvailMachine" numFmtId="0">
      <sharedItems containsBlank="1"/>
    </cacheField>
    <cacheField name="HasActivity" numFmtId="0">
      <sharedItems containsBlank="1"/>
    </cacheField>
    <cacheField name="IsAPMAgentUsed" numFmtId="0">
      <sharedItems containsBlank="1"/>
    </cacheField>
    <cacheField name="IsMachineAgentUsed" numFmtId="0">
      <sharedItems containsBlank="1"/>
    </cacheField>
    <cacheField name="From" numFmtId="0">
      <sharedItems containsBlank="1" containsDate="1" containsNonDate="0" containsSemiMixedTypes="0"/>
      <fieldGroup base="22" par="40">
        <rangePr groupBy="hours" startDate="1900-01-01T00:00:00" endDate="9999-12-31T00:00:00"/>
        <groupItems>
          <s v="&lt;0001-01-01"/>
          <s v="00"/>
          <s v="01"/>
          <s v="02"/>
          <s v="03"/>
          <s v="04"/>
          <s v="05"/>
          <s v="06"/>
          <s v="07"/>
          <s v="08"/>
          <s v="0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9999-12-31"/>
        </groupItems>
      </fieldGroup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Node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NodeLink" numFmtId="0">
      <sharedItems containsBlank="1"/>
    </cacheField>
    <cacheField name="MetricLink" numFmtId="0">
      <sharedItems containsBlank="1"/>
    </cacheField>
    <cacheField name="Days" databaseField="0">
      <sharedItems containsDate="1" containsNonDate="0" containsSemiMixedTypes="0"/>
      <fieldGroup base="22">
        <rangePr groupBy="days" startDate="1900-01-01T00:00:00" endDate="9999-12-31T00:00:00"/>
        <groupItems>
          <s v="&lt;0001-01-01"/>
          <s v="01-1"/>
          <s v="02-1"/>
          <s v="03-1"/>
          <s v="04-1"/>
          <s v="05-1"/>
          <s v="06-1"/>
          <s v="07-1"/>
          <s v="08-1"/>
          <s v="09-1"/>
          <s v="10-1"/>
          <s v="11-1"/>
          <s v="12-1"/>
          <s v="13-1"/>
          <s v="14-1"/>
          <s v="15-1"/>
          <s v="16-1"/>
          <s v="17-1"/>
          <s v="18-1"/>
          <s v="19-1"/>
          <s v="20-1"/>
          <s v="21-1"/>
          <s v="22-1"/>
          <s v="23-1"/>
          <s v="24-1"/>
          <s v="25-1"/>
          <s v="26-1"/>
          <s v="27-1"/>
          <s v="28-1"/>
          <s v="29-1"/>
          <s v="30-1"/>
          <s v="31-1"/>
          <s v="01-2"/>
          <s v="02-2"/>
          <s v="03-2"/>
          <s v="04-2"/>
          <s v="05-2"/>
          <s v="06-2"/>
          <s v="07-2"/>
          <s v="08-2"/>
          <s v="09-2"/>
          <s v="10-2"/>
          <s v="11-2"/>
          <s v="12-2"/>
          <s v="13-2"/>
          <s v="14-2"/>
          <s v="15-2"/>
          <s v="16-2"/>
          <s v="17-2"/>
          <s v="18-2"/>
          <s v="19-2"/>
          <s v="20-2"/>
          <s v="21-2"/>
          <s v="22-2"/>
          <s v="23-2"/>
          <s v="24-2"/>
          <s v="25-2"/>
          <s v="26-2"/>
          <s v="27-2"/>
          <s v="28-2"/>
          <s v="29-2"/>
          <s v="01-3"/>
          <s v="02-3"/>
          <s v="03-3"/>
          <s v="04-3"/>
          <s v="05-3"/>
          <s v="06-3"/>
          <s v="07-3"/>
          <s v="08-3"/>
          <s v="09-3"/>
          <s v="10-3"/>
          <s v="11-3"/>
          <s v="12-3"/>
          <s v="13-3"/>
          <s v="14-3"/>
          <s v="15-3"/>
          <s v="16-3"/>
          <s v="17-3"/>
          <s v="18-3"/>
          <s v="19-3"/>
          <s v="20-3"/>
          <s v="21-3"/>
          <s v="22-3"/>
          <s v="23-3"/>
          <s v="24-3"/>
          <s v="25-3"/>
          <s v="26-3"/>
          <s v="27-3"/>
          <s v="28-3"/>
          <s v="29-3"/>
          <s v="30-3"/>
          <s v="31-3"/>
          <s v="01-4"/>
          <s v="02-4"/>
          <s v="03-4"/>
          <s v="04-4"/>
          <s v="05-4"/>
          <s v="06-4"/>
          <s v="07-4"/>
          <s v="08-4"/>
          <s v="09-4"/>
          <s v="10-4"/>
          <s v="11-4"/>
          <s v="12-4"/>
          <s v="13-4"/>
          <s v="14-4"/>
          <s v="15-4"/>
          <s v="16-4"/>
          <s v="17-4"/>
          <s v="18-4"/>
          <s v="19-4"/>
          <s v="20-4"/>
          <s v="21-4"/>
          <s v="22-4"/>
          <s v="23-4"/>
          <s v="24-4"/>
          <s v="25-4"/>
          <s v="26-4"/>
          <s v="27-4"/>
          <s v="28-4"/>
          <s v="29-4"/>
          <s v="30-4"/>
          <s v="01-5"/>
          <s v="02-5"/>
          <s v="03-5"/>
          <s v="04-5"/>
          <s v="05-5"/>
          <s v="06-5"/>
          <s v="07-5"/>
          <s v="08-5"/>
          <s v="09-5"/>
          <s v="10-5"/>
          <s v="11-5"/>
          <s v="12-5"/>
          <s v="13-5"/>
          <s v="14-5"/>
          <s v="15-5"/>
          <s v="16-5"/>
          <s v="17-5"/>
          <s v="18-5"/>
          <s v="19-5"/>
          <s v="20-5"/>
          <s v="21-5"/>
          <s v="22-5"/>
          <s v="23-5"/>
          <s v="24-5"/>
          <s v="25-5"/>
          <s v="26-5"/>
          <s v="27-5"/>
          <s v="28-5"/>
          <s v="29-5"/>
          <s v="30-5"/>
          <s v="31-5"/>
          <s v="01-6"/>
          <s v="02-6"/>
          <s v="03-6"/>
          <s v="04-6"/>
          <s v="05-6"/>
          <s v="06-6"/>
          <s v="07-6"/>
          <s v="08-6"/>
          <s v="09-6"/>
          <s v="10-6"/>
          <s v="11-6"/>
          <s v="12-6"/>
          <s v="13-6"/>
          <s v="14-6"/>
          <s v="15-6"/>
          <s v="16-6"/>
          <s v="17-6"/>
          <s v="18-6"/>
          <s v="19-6"/>
          <s v="20-6"/>
          <s v="21-6"/>
          <s v="22-6"/>
          <s v="23-6"/>
          <s v="24-6"/>
          <s v="25-6"/>
          <s v="26-6"/>
          <s v="27-6"/>
          <s v="28-6"/>
          <s v="29-6"/>
          <s v="30-6"/>
          <s v="01-7"/>
          <s v="02-7"/>
          <s v="03-7"/>
          <s v="04-7"/>
          <s v="05-7"/>
          <s v="06-7"/>
          <s v="07-7"/>
          <s v="08-7"/>
          <s v="09-7"/>
          <s v="10-7"/>
          <s v="11-7"/>
          <s v="12-7"/>
          <s v="13-7"/>
          <s v="14-7"/>
          <s v="15-7"/>
          <s v="16-7"/>
          <s v="17-7"/>
          <s v="18-7"/>
          <s v="19-7"/>
          <s v="20-7"/>
          <s v="21-7"/>
          <s v="22-7"/>
          <s v="23-7"/>
          <s v="24-7"/>
          <s v="25-7"/>
          <s v="26-7"/>
          <s v="27-7"/>
          <s v="28-7"/>
          <s v="29-7"/>
          <s v="30-7"/>
          <s v="31-7"/>
          <s v="01-8"/>
          <s v="02-8"/>
          <s v="03-8"/>
          <s v="04-8"/>
          <s v="05-8"/>
          <s v="06-8"/>
          <s v="07-8"/>
          <s v="08-8"/>
          <s v="09-8"/>
          <s v="10-8"/>
          <s v="11-8"/>
          <s v="12-8"/>
          <s v="13-8"/>
          <s v="14-8"/>
          <s v="15-8"/>
          <s v="16-8"/>
          <s v="17-8"/>
          <s v="18-8"/>
          <s v="19-8"/>
          <s v="20-8"/>
          <s v="21-8"/>
          <s v="22-8"/>
          <s v="23-8"/>
          <s v="24-8"/>
          <s v="25-8"/>
          <s v="26-8"/>
          <s v="27-8"/>
          <s v="28-8"/>
          <s v="29-8"/>
          <s v="30-8"/>
          <s v="31-8"/>
          <s v="01-9"/>
          <s v="02-9"/>
          <s v="03-9"/>
          <s v="04-9"/>
          <s v="05-9"/>
          <s v="06-9"/>
          <s v="07-9"/>
          <s v="08-9"/>
          <s v="09-9"/>
          <s v="10-9"/>
          <s v="11-9"/>
          <s v="12-9"/>
          <s v="13-9"/>
          <s v="14-9"/>
          <s v="15-9"/>
          <s v="16-9"/>
          <s v="17-9"/>
          <s v="18-9"/>
          <s v="19-9"/>
          <s v="20-9"/>
          <s v="21-9"/>
          <s v="22-9"/>
          <s v="23-9"/>
          <s v="24-9"/>
          <s v="25-9"/>
          <s v="26-9"/>
          <s v="27-9"/>
          <s v="28-9"/>
          <s v="29-9"/>
          <s v="30-9"/>
          <s v="01-10"/>
          <s v="02-10"/>
          <s v="03-10"/>
          <s v="04-10"/>
          <s v="05-10"/>
          <s v="06-10"/>
          <s v="07-10"/>
          <s v="08-10"/>
          <s v="09-10"/>
          <s v="10-10"/>
          <s v="11-10"/>
          <s v="12-10"/>
          <s v="13-10"/>
          <s v="14-10"/>
          <s v="15-10"/>
          <s v="16-10"/>
          <s v="17-10"/>
          <s v="18-10"/>
          <s v="19-10"/>
          <s v="20-10"/>
          <s v="21-10"/>
          <s v="22-10"/>
          <s v="23-10"/>
          <s v="24-10"/>
          <s v="25-10"/>
          <s v="26-10"/>
          <s v="27-10"/>
          <s v="28-10"/>
          <s v="29-10"/>
          <s v="30-10"/>
          <s v="31-10"/>
          <s v="01-11"/>
          <s v="02-11"/>
          <s v="03-11"/>
          <s v="04-11"/>
          <s v="05-11"/>
          <s v="06-11"/>
          <s v="07-11"/>
          <s v="08-11"/>
          <s v="09-11"/>
          <s v="10-11"/>
          <s v="11-11"/>
          <s v="12-11"/>
          <s v="13-11"/>
          <s v="14-11"/>
          <s v="15-11"/>
          <s v="16-11"/>
          <s v="17-11"/>
          <s v="18-11"/>
          <s v="19-11"/>
          <s v="20-11"/>
          <s v="21-11"/>
          <s v="22-11"/>
          <s v="23-11"/>
          <s v="24-11"/>
          <s v="25-11"/>
          <s v="26-11"/>
          <s v="27-11"/>
          <s v="28-11"/>
          <s v="29-11"/>
          <s v="30-11"/>
          <s v="01-12"/>
          <s v="02-12"/>
          <s v="03-12"/>
          <s v="04-12"/>
          <s v="05-12"/>
          <s v="06-12"/>
          <s v="07-12"/>
          <s v="08-12"/>
          <s v="09-12"/>
          <s v="10-12"/>
          <s v="11-12"/>
          <s v="12-12"/>
          <s v="13-12"/>
          <s v="14-12"/>
          <s v="15-12"/>
          <s v="16-12"/>
          <s v="17-12"/>
          <s v="18-12"/>
          <s v="19-12"/>
          <s v="20-12"/>
          <s v="21-12"/>
          <s v="22-12"/>
          <s v="23-12"/>
          <s v="24-12"/>
          <s v="25-12"/>
          <s v="26-12"/>
          <s v="27-12"/>
          <s v="28-12"/>
          <s v="29-12"/>
          <s v="30-12"/>
          <s v="31-12"/>
          <s v="&gt;9999-12-31"/>
        </groupItems>
      </fieldGroup>
    </cacheField>
    <cacheField name="Months" databaseField="0">
      <sharedItems containsDate="1" containsNonDate="0" containsSemiMixedTypes="0"/>
      <fieldGroup base="22">
        <rangePr groupBy="months" startDate="1900-01-01T00:00:00" endDate="9999-12-31T00:00:00"/>
        <groupItems>
          <s v="&lt;0001-01-01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9999-12-31"/>
        </groupItems>
      </fieldGroup>
    </cacheField>
  </cacheFields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7.Backends.Hourly" name="t_Backends_Hourly"/>
  </cacheSource>
  <cacheFields count="26">
    <cacheField name="Controller" numFmtId="0">
      <sharedItems containsBlank="1"/>
    </cacheField>
    <cacheField name="ApplicationName" numFmtId="0">
      <sharedItems containsBlank="1"/>
    </cacheField>
    <cacheField name="BackendName" numFmtId="0">
      <sharedItems containsBlank="1"/>
    </cacheField>
    <cacheField name="Backend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rrorsPercentage" numFmtId="0">
      <sharedItems containsBlank="1"/>
    </cacheField>
    <cacheField name="HasActivity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Backend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BackendLink" numFmtId="0">
      <sharedItems containsBlank="1"/>
    </cacheField>
    <cacheField name="MetricLink" numFmtId="0">
      <sharedItems containsBlank="1"/>
    </cacheField>
  </cacheFields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8.BTs.Hourly" name="t_BusinessTransactions_Hourly"/>
  </cacheSource>
  <cacheFields count="31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BTName" numFmtId="0">
      <sharedItems containsBlank="1"/>
    </cacheField>
    <cacheField name="BT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rrorsPercentage" numFmtId="0">
      <sharedItems containsBlank="1"/>
    </cacheField>
    <cacheField name="HasActivity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BT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FlameGraphLink" numFmtId="0">
      <sharedItems containsBlank="1"/>
    </cacheField>
    <cacheField name="FlameChart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BTLink" numFmtId="0">
      <sharedItems containsBlank="1"/>
    </cacheField>
    <cacheField name="MetricLink" numFmtId="0">
      <sharedItems containsBlank="1"/>
    </cacheField>
  </cacheFields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r:id="rId1" refreshOnLoad="1" refreshedBy="SomeUser" refreshedDate="40504.582403125001" createdVersion="1" refreshedVersion="3" recordCount="5" upgradeOnRefresh="1">
  <cacheSource type="worksheet">
    <worksheetSource sheet="9.SEPs.Hourly" name="t_ServiceEndpoints_Hourly"/>
  </cacheSource>
  <cacheFields count="29">
    <cacheField name="Controller" numFmtId="0">
      <sharedItems containsBlank="1"/>
    </cacheField>
    <cacheField name="ApplicationName" numFmtId="0">
      <sharedItems containsBlank="1"/>
    </cacheField>
    <cacheField name="TierName" numFmtId="0">
      <sharedItems containsBlank="1"/>
    </cacheField>
    <cacheField name="SEPName" numFmtId="0">
      <sharedItems containsBlank="1"/>
    </cacheField>
    <cacheField name="SEPType" numFmtId="0">
      <sharedItems containsBlank="1"/>
    </cacheField>
    <cacheField name="ART" numFmtId="0">
      <sharedItems containsBlank="1"/>
    </cacheField>
    <cacheField name="ARTRange" numFmtId="0">
      <sharedItems containsBlank="1"/>
    </cacheField>
    <cacheField name="TimeTotal" numFmtId="0">
      <sharedItems containsBlank="1"/>
    </cacheField>
    <cacheField name="Calls" numFmtId="0">
      <sharedItems containsBlank="1"/>
    </cacheField>
    <cacheField name="CPM" numFmtId="0">
      <sharedItems containsBlank="1"/>
    </cacheField>
    <cacheField name="Errors" numFmtId="0">
      <sharedItems containsBlank="1"/>
    </cacheField>
    <cacheField name="EPM" numFmtId="0">
      <sharedItems containsBlank="1"/>
    </cacheField>
    <cacheField name="ErrorsPercentage" numFmtId="0">
      <sharedItems containsBlank="1"/>
    </cacheField>
    <cacheField name="HasActivity" numFmtId="0">
      <sharedItems containsBlank="1"/>
    </cacheField>
    <cacheField name="From" numFmtId="0">
      <sharedItems containsBlank="1"/>
    </cacheField>
    <cacheField name="To" numFmtId="0">
      <sharedItems containsBlank="1"/>
    </cacheField>
    <cacheField name="FromUtc" numFmtId="0">
      <sharedItems containsBlank="1"/>
    </cacheField>
    <cacheField name="ToUtc" numFmtId="0">
      <sharedItems containsBlank="1"/>
    </cacheField>
    <cacheField name="Duration" numFmtId="0">
      <sharedItems containsBlank="1"/>
    </cacheField>
    <cacheField name="ApplicationID" numFmtId="0">
      <sharedItems containsBlank="1"/>
    </cacheField>
    <cacheField name="TierID" numFmtId="0">
      <sharedItems containsBlank="1"/>
    </cacheField>
    <cacheField name="SEPID" numFmtId="0">
      <sharedItems containsBlank="1"/>
    </cacheField>
    <cacheField name="DetailLink" numFmtId="0">
      <sharedItems containsBlank="1"/>
    </cacheField>
    <cacheField name="MetricGraphLink" numFmtId="0">
      <sharedItems containsBlank="1"/>
    </cacheField>
    <cacheField name="ControllerLink" numFmtId="0">
      <sharedItems containsBlank="1"/>
    </cacheField>
    <cacheField name="ApplicationLink" numFmtId="0">
      <sharedItems containsBlank="1"/>
    </cacheField>
    <cacheField name="TierLink" numFmtId="0">
      <sharedItems containsBlank="1"/>
    </cacheField>
    <cacheField name="SEPLink" numFmtId="0">
      <sharedItems containsBlank="1"/>
    </cacheField>
    <cacheField name="MetricLink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0"/>
</file>

<file path=xl/pivotCache/pivotCacheRecords2.xml><?xml version="1.0" encoding="utf-8"?>
<pivotCacheRecords xmlns="http://schemas.openxmlformats.org/spreadsheetml/2006/main" xmlns:r="http://schemas.openxmlformats.org/officeDocument/2006/relationships" count="0"/>
</file>

<file path=xl/pivotCache/pivotCacheRecords3.xml><?xml version="1.0" encoding="utf-8"?>
<pivotCacheRecords xmlns="http://schemas.openxmlformats.org/spreadsheetml/2006/main" xmlns:r="http://schemas.openxmlformats.org/officeDocument/2006/relationships" count="0"/>
</file>

<file path=xl/pivotCache/pivotCacheRecords4.xml><?xml version="1.0" encoding="utf-8"?>
<pivotCacheRecords xmlns="http://schemas.openxmlformats.org/spreadsheetml/2006/main" xmlns:r="http://schemas.openxmlformats.org/officeDocument/2006/relationships" count="0"/>
</file>

<file path=xl/pivotCache/pivotCacheRecords5.xml><?xml version="1.0" encoding="utf-8"?>
<pivotCacheRecords xmlns="http://schemas.openxmlformats.org/spreadsheetml/2006/main" xmlns:r="http://schemas.openxmlformats.org/officeDocument/2006/relationships" count="0"/>
</file>

<file path=xl/pivotCache/pivotCacheRecords6.xml><?xml version="1.0" encoding="utf-8"?>
<pivotCacheRecords xmlns="http://schemas.openxmlformats.org/spreadsheetml/2006/main" xmlns:r="http://schemas.openxmlformats.org/officeDocument/2006/relationships" count="0"/>
</file>

<file path=xl/pivotCache/pivotCacheRecords7.xml><?xml version="1.0" encoding="utf-8"?>
<pivotCacheRecords xmlns="http://schemas.openxmlformats.org/spreadsheetml/2006/main" xmlns:r="http://schemas.openxmlformats.org/officeDocument/2006/relationships" count="0"/>
</file>

<file path=xl/pivotCache/pivotCacheRecords8.xml><?xml version="1.0" encoding="utf-8"?>
<pivotCacheRecords xmlns="http://schemas.openxmlformats.org/spreadsheetml/2006/main" xmlns:r="http://schemas.openxmlformats.org/officeDocument/2006/relationships" count="0"/>
</file>

<file path=xl/pivotTables/_rels/pivotTable1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1.xml"/></Relationships>
</file>

<file path=xl/pivotTables/_rels/pivotTable2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2.xml"/></Relationships>
</file>

<file path=xl/pivotTables/_rels/pivotTable3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3.xml"/></Relationships>
</file>

<file path=xl/pivotTables/_rels/pivotTable4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4.xml"/></Relationships>
</file>

<file path=xl/pivotTables/_rels/pivotTable5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5.xml"/></Relationships>
</file>

<file path=xl/pivotTables/_rels/pivotTable6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6.xml"/></Relationships>
</file>

<file path=xl/pivotTables/_rels/pivotTable7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7.xml"/></Relationships>
</file>

<file path=xl/pivotTables/_rels/pivotTable8.xml.rels><?xml version="1.0" encoding="UTF-8" standalone="yes"?><Relationships xmlns="http://schemas.openxmlformats.org/package/2006/relationships"><Relationship Id="rId1" Type="http://schemas.openxmlformats.org/officeDocument/2006/relationships/pivotCacheDefinition" Target="/xl/pivotCache/pivotCacheDefinition8.xml"/></Relationships>
</file>

<file path=xl/pivotTables/pivotTable1.xml><?xml version="1.0" encoding="utf-8"?>
<pivotTableDefinition xmlns="http://schemas.openxmlformats.org/spreadsheetml/2006/main" name="p_Applications" cacheId="1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28"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</rowFields>
  <colFields>
    <field x="-2"/>
  </colFields>
  <pageFields>
    <pageField fld="14" hier="-1"/>
    <pageField fld="15" hier="-1"/>
  </pageFields>
  <dataFields>
    <dataField fld="2" subtotal="average" name="ART"/>
    <dataField fld="4" subtotal="sum" name="Time"/>
    <dataField fld="5" subtotal="sum" name="Calls"/>
    <dataField fld="6" subtotal="average" name="CPM"/>
    <dataField fld="7" subtotal="sum" name="Errors"/>
    <dataField fld="8" subtotal="average" name="EPM"/>
    <dataField fld="9" subtotal="sum" name="Exceptions"/>
    <dataField fld="10" subtotal="average" name="EXCPM"/>
    <dataField fld="11" subtotal="sum" name="HttpErrors"/>
    <dataField fld="12" subtotal="average" name="HTTPEPM"/>
    <dataField fld="13" subtotal="average" name="Errors %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_Tiers" cacheId="2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36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/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/>
    <pivotField showAll="0"/>
    <pivotField showAll="0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4"/>
    <field x="2"/>
  </rowFields>
  <colFields>
    <field x="-2"/>
  </colFields>
  <pageFields>
    <pageField fld="20" hier="-1"/>
    <pageField fld="21" hier="-1"/>
  </pageFields>
  <dataFields>
    <dataField fld="5" subtotal="average" name="ART"/>
    <dataField fld="7" subtotal="sum" name="Time"/>
    <dataField fld="8" subtotal="sum" name="Calls"/>
    <dataField fld="9" subtotal="average" name="CPM"/>
    <dataField fld="10" subtotal="sum" name="Errors"/>
    <dataField fld="11" subtotal="average" name="EPM"/>
    <dataField fld="12" subtotal="sum" name="Exceptions"/>
    <dataField fld="13" subtotal="average" name="EXCPM"/>
    <dataField fld="14" subtotal="sum" name="HttpErrors"/>
    <dataField fld="15" subtotal="average" name="HTTPEPM"/>
    <dataField fld="16" subtotal="average" name="Errors %"/>
  </dataFields>
  <pivotTableStyleInfo name="PivotStyleMedium9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_TiersAvailability" cacheId="3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2" firstHeaderRow="1" firstDataRow="1" firstDataCol="1"/>
  <pivotFields count="36">
    <pivotField showAll="0" axis="axisCol" compact="0" outline="0" defaultSubtotal="0" sortType="ascending">
    </pivotField>
    <pivotField showAll="0" axis="axisCol" compact="0" outline="0" defaultSubtotal="0" sortType="ascending">
    </pivotField>
    <pivotField showAll="0" axis="axisCol" compact="0" outline="0" defaultSubtotal="0" sortType="ascending">
    </pivotField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axis="axisPage" dataField="1">
      <items count="1">
        <item t="default"/>
      </items>
    </pivotField>
    <pivotField showAll="0"/>
    <pivotField showAll="0"/>
    <pivotField showAll="0" axis="axisRow" compact="0" outline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compact="0" outline="0" showAll="0" defaultSubtotal="0" axis="axisRow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compact="0" outline="0" showAll="0" defaultSubtotal="0" axis="axisRow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>
    <field x="37"/>
    <field x="36"/>
    <field x="21"/>
  </rowFields>
  <colFields>
    <field x="0"/>
    <field x="1"/>
    <field x="2"/>
  </colFields>
  <pageFields>
    <pageField fld="18" hier="-1"/>
    <pageField fld="4" hier="-1"/>
  </pageFields>
  <dataFields>
    <dataField fld="18" subtotal="average" name="Average of AvailAgent"/>
  </dataFields>
  <pivotTableStyleInfo name="PivotStyleMedium9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_Nodes" cacheId="4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39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/>
    <pivotField showAll="0"/>
    <pivotField showAll="0" axis="axisPage">
      <items count="1">
        <item t="default"/>
      </items>
    </pivotField>
    <pivotField showAll="0"/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4"/>
    <field x="2"/>
    <field x="3"/>
  </rowFields>
  <colFields>
    <field x="-2"/>
  </colFields>
  <pageFields>
    <pageField fld="19" hier="-1"/>
    <pageField fld="22" hier="-1"/>
  </pageFields>
  <dataFields>
    <dataField fld="5" subtotal="average" name="ART"/>
    <dataField fld="7" subtotal="sum" name="Time"/>
    <dataField fld="8" subtotal="sum" name="Calls"/>
    <dataField fld="9" subtotal="average" name="CPM"/>
    <dataField fld="10" subtotal="sum" name="Errors"/>
    <dataField fld="11" subtotal="average" name="EPM"/>
    <dataField fld="12" subtotal="sum" name="Exceptions"/>
    <dataField fld="13" subtotal="average" name="EXCPM"/>
    <dataField fld="14" subtotal="sum" name="HttpErrors"/>
    <dataField fld="15" subtotal="average" name="HTTPEPM"/>
    <dataField fld="16" subtotal="average" name="Errors %"/>
  </dataFields>
  <pivotTableStyleInfo name="PivotStyleMedium9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_NodesAvailability" cacheId="5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24" firstHeaderRow="1" firstDataRow="1" firstDataCol="1"/>
  <pivotFields count="39">
    <pivotField showAll="0" axis="axisCol" compact="0" outline="0" defaultSubtotal="0" sortType="ascending">
    </pivotField>
    <pivotField showAll="0" axis="axisCol" compact="0" outline="0" defaultSubtotal="0" sortType="ascending">
    </pivotField>
    <pivotField showAll="0" axis="axisCol" compact="0" outline="0" defaultSubtotal="0" sortType="ascending">
    </pivotField>
    <pivotField showAll="0"/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ataField="1"/>
    <pivotField showAll="0" axis="axisPage">
      <items count="1">
        <item t="default"/>
      </items>
    </pivotField>
    <pivotField showAll="0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 axis="axisRow" compact="0" outline="0">
      <items count="2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compact="0" outline="0" showAll="0" defaultSubtotal="0" axis="axisRow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</items>
    </pivotField>
    <pivotField compact="0" outline="0" showAll="0" defaultSubtotal="0" axis="axisRow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>
    <field x="40"/>
    <field x="39"/>
    <field x="22"/>
  </rowFields>
  <colFields>
    <field x="0"/>
    <field x="1"/>
    <field x="2"/>
  </colFields>
  <pageFields>
    <pageField fld="20" hier="-1"/>
    <pageField fld="21" hier="-1"/>
    <pageField fld="18" hier="-1"/>
    <pageField fld="4" hier="-1"/>
  </pageFields>
  <dataFields>
    <dataField fld="17" subtotal="average" name="Average of AvailAgent"/>
  </dataFields>
  <pivotTableStyleInfo name="PivotStyleMedium9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_Backends" cacheId="6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26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3"/>
    <field x="2"/>
  </rowFields>
  <colFields>
    <field x="-2"/>
  </colFields>
  <pageFields>
    <pageField fld="12" hier="-1"/>
    <pageField fld="13" hier="-1"/>
  </pageFields>
  <dataFields>
    <dataField fld="4" subtotal="average" name="ART"/>
    <dataField fld="6" subtotal="sum" name="Time"/>
    <dataField fld="7" subtotal="sum" name="Calls"/>
    <dataField fld="8" subtotal="average" name="CPM"/>
    <dataField fld="9" subtotal="sum" name="Errors"/>
    <dataField fld="10" subtotal="average" name="EPM"/>
    <dataField fld="11" subtotal="average" name="Errors %"/>
  </dataFields>
  <pivotTableStyleInfo name="PivotStyleMedium9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_BusinessTransactions" cacheId="7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31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4"/>
    <field x="3"/>
  </rowFields>
  <colFields>
    <field x="-2"/>
  </colFields>
  <pageFields>
    <pageField fld="13" hier="-1"/>
    <pageField fld="14" hier="-1"/>
  </pageFields>
  <dataFields>
    <dataField fld="5" subtotal="average" name="ART"/>
    <dataField fld="7" subtotal="sum" name="Time"/>
    <dataField fld="8" subtotal="sum" name="Calls"/>
    <dataField fld="9" subtotal="average" name="CPM"/>
    <dataField fld="10" subtotal="sum" name="Errors"/>
    <dataField fld="11" subtotal="average" name="EPM"/>
    <dataField fld="12" subtotal="average" name="Errors %"/>
  </dataFields>
  <pivotTableStyleInfo name="PivotStyleMedium9"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_ServiceEndpoints" cacheId="8" dataOnRows="0" applyNumberFormats="0" applyBorderFormats="0" applyFontFormats="0" applyPatternFormats="0" applyAlignmentFormats="0" applyWidthHeightFormats="0" dataCaption="Data" createdVersion="4" showMemberPropertyTips="0" useAutoFormatting="1" itemPrintTitles="1" indent="0" compact="0" compactData="0" gridDropZones="1">
  <location ref="A8" firstHeaderRow="1" firstDataRow="1" firstDataCol="1"/>
  <pivotFields count="29"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axis="axisRow" compact="0" outline="0" defaultSubtotal="0">
    </pivotField>
    <pivotField showAll="0" dataField="1"/>
    <pivotField showAll="0"/>
    <pivotField showAll="0" dataField="1"/>
    <pivotField showAll="0" dataField="1"/>
    <pivotField showAll="0" dataField="1"/>
    <pivotField showAll="0" dataField="1"/>
    <pivotField showAll="0" dataField="1"/>
    <pivotField showAll="0" dataField="1"/>
    <pivotField showAll="0" axis="axisPage">
      <items count="1">
        <item t="default"/>
      </items>
    </pivotField>
    <pivotField showAll="0" axis="axisPage">
      <items count="1"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>
    <field x="0"/>
    <field x="1"/>
    <field x="2"/>
    <field x="4"/>
    <field x="3"/>
  </rowFields>
  <colFields>
    <field x="-2"/>
  </colFields>
  <pageFields>
    <pageField fld="13" hier="-1"/>
    <pageField fld="14" hier="-1"/>
  </pageFields>
  <dataFields>
    <dataField fld="5" subtotal="average" name="ART"/>
    <dataField fld="7" subtotal="sum" name="Time"/>
    <dataField fld="8" subtotal="sum" name="Calls"/>
    <dataField fld="9" subtotal="average" name="CPM"/>
    <dataField fld="10" subtotal="sum" name="Errors"/>
    <dataField fld="11" subtotal="average" name="EPM"/>
    <dataField fld="12" subtotal="average" name="Errors %"/>
  </dataField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10" name="t_Backends_Hourly" displayName="t_Backends_Hourly" ref="A4:Z10">
  <autoFilter ref="A4:Z10"/>
  <tableColumns count="26">
    <tableColumn id="1" name="Controller"/>
    <tableColumn id="2" name="ApplicationName"/>
    <tableColumn id="3" name="BackendName"/>
    <tableColumn id="4" name="BackendType"/>
    <tableColumn id="5" name="ART"/>
    <tableColumn id="6" name="ARTRange"/>
    <tableColumn id="7" name="TimeTotal"/>
    <tableColumn id="8" name="Calls"/>
    <tableColumn id="9" name="CPM"/>
    <tableColumn id="10" name="Errors"/>
    <tableColumn id="11" name="EPM"/>
    <tableColumn id="12" name="ErrorsPercentage"/>
    <tableColumn id="13" name="HasActivity"/>
    <tableColumn id="14" name="From"/>
    <tableColumn id="15" name="To"/>
    <tableColumn id="16" name="FromUtc"/>
    <tableColumn id="17" name="ToUtc"/>
    <tableColumn id="18" name="Duration"/>
    <tableColumn id="19" name="ApplicationID"/>
    <tableColumn id="20" name="BackendID"/>
    <tableColumn id="21" name="DetailLink"/>
    <tableColumn id="22" name="MetricGraphLink"/>
    <tableColumn id="23" name="ControllerLink"/>
    <tableColumn id="24" name="ApplicationLink"/>
    <tableColumn id="25" name="BackendLink"/>
    <tableColumn id="26" name="MetricLink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1" name="t_BusinessTransactions_Full" displayName="t_BusinessTransactions_Full" ref="A4:AE224">
  <autoFilter ref="A4:AE224"/>
  <tableColumns count="31">
    <tableColumn id="1" name="Controller"/>
    <tableColumn id="2" name="ApplicationName"/>
    <tableColumn id="3" name="TierName"/>
    <tableColumn id="4" name="BTName"/>
    <tableColumn id="5" name="B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rrorsPercentage"/>
    <tableColumn id="14" name="HasActivity"/>
    <tableColumn id="15" name="From"/>
    <tableColumn id="16" name="To"/>
    <tableColumn id="17" name="FromUtc"/>
    <tableColumn id="18" name="ToUtc"/>
    <tableColumn id="19" name="Duration"/>
    <tableColumn id="20" name="ApplicationID"/>
    <tableColumn id="21" name="TierID"/>
    <tableColumn id="22" name="BTID"/>
    <tableColumn id="23" name="DetailLink"/>
    <tableColumn id="24" name="MetricGraphLink"/>
    <tableColumn id="25" name="FlameGraphLink"/>
    <tableColumn id="26" name="FlameChartLink"/>
    <tableColumn id="27" name="ControllerLink"/>
    <tableColumn id="28" name="ApplicationLink"/>
    <tableColumn id="29" name="TierLink"/>
    <tableColumn id="30" name="BTLink"/>
    <tableColumn id="31" name="MetricLink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id="12" name="t_BusinessTransactions_Hourly" displayName="t_BusinessTransactions_Hourly" ref="A4:AE224">
  <autoFilter ref="A4:AE224"/>
  <tableColumns count="31">
    <tableColumn id="1" name="Controller"/>
    <tableColumn id="2" name="ApplicationName"/>
    <tableColumn id="3" name="TierName"/>
    <tableColumn id="4" name="BTName"/>
    <tableColumn id="5" name="B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rrorsPercentage"/>
    <tableColumn id="14" name="HasActivity"/>
    <tableColumn id="15" name="From"/>
    <tableColumn id="16" name="To"/>
    <tableColumn id="17" name="FromUtc"/>
    <tableColumn id="18" name="ToUtc"/>
    <tableColumn id="19" name="Duration"/>
    <tableColumn id="20" name="ApplicationID"/>
    <tableColumn id="21" name="TierID"/>
    <tableColumn id="22" name="BTID"/>
    <tableColumn id="23" name="DetailLink"/>
    <tableColumn id="24" name="MetricGraphLink"/>
    <tableColumn id="25" name="FlameGraphLink"/>
    <tableColumn id="26" name="FlameChartLink"/>
    <tableColumn id="27" name="ControllerLink"/>
    <tableColumn id="28" name="ApplicationLink"/>
    <tableColumn id="29" name="TierLink"/>
    <tableColumn id="30" name="BTLink"/>
    <tableColumn id="31" name="MetricLink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id="13" name="t_ServiceEndpoints_Full" displayName="t_ServiceEndpoints_Full" ref="A4:AC222">
  <autoFilter ref="A4:AC222"/>
  <tableColumns count="29">
    <tableColumn id="1" name="Controller"/>
    <tableColumn id="2" name="ApplicationName"/>
    <tableColumn id="3" name="TierName"/>
    <tableColumn id="4" name="SEPName"/>
    <tableColumn id="5" name="SEP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rrorsPercentage"/>
    <tableColumn id="14" name="HasActivity"/>
    <tableColumn id="15" name="From"/>
    <tableColumn id="16" name="To"/>
    <tableColumn id="17" name="FromUtc"/>
    <tableColumn id="18" name="ToUtc"/>
    <tableColumn id="19" name="Duration"/>
    <tableColumn id="20" name="ApplicationID"/>
    <tableColumn id="21" name="TierID"/>
    <tableColumn id="22" name="SEPID"/>
    <tableColumn id="23" name="DetailLink"/>
    <tableColumn id="24" name="MetricGraphLink"/>
    <tableColumn id="25" name="ControllerLink"/>
    <tableColumn id="26" name="ApplicationLink"/>
    <tableColumn id="27" name="TierLink"/>
    <tableColumn id="28" name="SEPLink"/>
    <tableColumn id="29" name="MetricLink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id="14" name="t_ServiceEndpoints_Hourly" displayName="t_ServiceEndpoints_Hourly" ref="A4:AC222">
  <autoFilter ref="A4:AC222"/>
  <tableColumns count="29">
    <tableColumn id="1" name="Controller"/>
    <tableColumn id="2" name="ApplicationName"/>
    <tableColumn id="3" name="TierName"/>
    <tableColumn id="4" name="SEPName"/>
    <tableColumn id="5" name="SEP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rrorsPercentage"/>
    <tableColumn id="14" name="HasActivity"/>
    <tableColumn id="15" name="From"/>
    <tableColumn id="16" name="To"/>
    <tableColumn id="17" name="FromUtc"/>
    <tableColumn id="18" name="ToUtc"/>
    <tableColumn id="19" name="Duration"/>
    <tableColumn id="20" name="ApplicationID"/>
    <tableColumn id="21" name="TierID"/>
    <tableColumn id="22" name="SEPID"/>
    <tableColumn id="23" name="DetailLink"/>
    <tableColumn id="24" name="MetricGraphLink"/>
    <tableColumn id="25" name="ControllerLink"/>
    <tableColumn id="26" name="ApplicationLink"/>
    <tableColumn id="27" name="TierLink"/>
    <tableColumn id="28" name="SEPLink"/>
    <tableColumn id="29" name="MetricLink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id="15" name="t_TOC" displayName="t_TOC" ref="A1:C30">
  <autoFilter ref="A1:C30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_Full" displayName="t_Applications_Full" ref="A4:AB5">
  <autoFilter ref="A4:AB5"/>
  <tableColumns count="28">
    <tableColumn id="1" name="Controller"/>
    <tableColumn id="2" name="ApplicationName"/>
    <tableColumn id="3" name="ART"/>
    <tableColumn id="4" name="ARTRange"/>
    <tableColumn id="5" name="TimeTotal"/>
    <tableColumn id="6" name="Calls"/>
    <tableColumn id="7" name="CPM"/>
    <tableColumn id="8" name="Errors"/>
    <tableColumn id="9" name="EPM"/>
    <tableColumn id="10" name="Exceptions"/>
    <tableColumn id="11" name="EXCPM"/>
    <tableColumn id="12" name="HttpErrors"/>
    <tableColumn id="13" name="HTTPEPM"/>
    <tableColumn id="14" name="ErrorsPercentage"/>
    <tableColumn id="15" name="HasActivity"/>
    <tableColumn id="16" name="From"/>
    <tableColumn id="17" name="To"/>
    <tableColumn id="18" name="FromUtc"/>
    <tableColumn id="19" name="ToUtc"/>
    <tableColumn id="20" name="Duration"/>
    <tableColumn id="21" name="ApplicationID"/>
    <tableColumn id="22" name="DetailLink"/>
    <tableColumn id="23" name="MetricGraphLink"/>
    <tableColumn id="24" name="FlameGraphLink"/>
    <tableColumn id="25" name="FlameChartLink"/>
    <tableColumn id="26" name="ControllerLink"/>
    <tableColumn id="27" name="ApplicationLink"/>
    <tableColumn id="28" name="MetricLink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Applications_Hourly" displayName="t_Applications_Hourly" ref="A4:AB5">
  <autoFilter ref="A4:AB5"/>
  <tableColumns count="28">
    <tableColumn id="1" name="Controller"/>
    <tableColumn id="2" name="ApplicationName"/>
    <tableColumn id="3" name="ART"/>
    <tableColumn id="4" name="ARTRange"/>
    <tableColumn id="5" name="TimeTotal"/>
    <tableColumn id="6" name="Calls"/>
    <tableColumn id="7" name="CPM"/>
    <tableColumn id="8" name="Errors"/>
    <tableColumn id="9" name="EPM"/>
    <tableColumn id="10" name="Exceptions"/>
    <tableColumn id="11" name="EXCPM"/>
    <tableColumn id="12" name="HttpErrors"/>
    <tableColumn id="13" name="HTTPEPM"/>
    <tableColumn id="14" name="ErrorsPercentage"/>
    <tableColumn id="15" name="HasActivity"/>
    <tableColumn id="16" name="From"/>
    <tableColumn id="17" name="To"/>
    <tableColumn id="18" name="FromUtc"/>
    <tableColumn id="19" name="ToUtc"/>
    <tableColumn id="20" name="Duration"/>
    <tableColumn id="21" name="ApplicationID"/>
    <tableColumn id="22" name="DetailLink"/>
    <tableColumn id="23" name="MetricGraphLink"/>
    <tableColumn id="24" name="FlameGraphLink"/>
    <tableColumn id="25" name="FlameChartLink"/>
    <tableColumn id="26" name="ControllerLink"/>
    <tableColumn id="27" name="ApplicationLink"/>
    <tableColumn id="28" name="MetricLink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_Tiers_Full" displayName="t_Tiers_Full" ref="A4:AJ25">
  <autoFilter ref="A4:AJ25"/>
  <tableColumns count="36">
    <tableColumn id="1" name="Controller"/>
    <tableColumn id="2" name="ApplicationName"/>
    <tableColumn id="3" name="TierName"/>
    <tableColumn id="4" name="TierType"/>
    <tableColumn id="5" name="Agen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xceptions"/>
    <tableColumn id="14" name="EXCPM"/>
    <tableColumn id="15" name="HttpErrors"/>
    <tableColumn id="16" name="HTTPEPM"/>
    <tableColumn id="17" name="ErrorsPercentage"/>
    <tableColumn id="18" name="NumNodes"/>
    <tableColumn id="19" name="AvailAgent"/>
    <tableColumn id="20" name="AvailMachine"/>
    <tableColumn id="21" name="HasActivity"/>
    <tableColumn id="22" name="From"/>
    <tableColumn id="23" name="To"/>
    <tableColumn id="24" name="FromUtc"/>
    <tableColumn id="25" name="ToUtc"/>
    <tableColumn id="26" name="Duration"/>
    <tableColumn id="27" name="ApplicationID"/>
    <tableColumn id="28" name="TierID"/>
    <tableColumn id="29" name="DetailLink"/>
    <tableColumn id="30" name="MetricGraphLink"/>
    <tableColumn id="31" name="FlameGraphLink"/>
    <tableColumn id="32" name="FlameChartLink"/>
    <tableColumn id="33" name="ControllerLink"/>
    <tableColumn id="34" name="ApplicationLink"/>
    <tableColumn id="35" name="TierLink"/>
    <tableColumn id="36" name="MetricLink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_Tiers_Hourly" displayName="t_Tiers_Hourly" ref="A4:AJ25">
  <autoFilter ref="A4:AJ25"/>
  <tableColumns count="36">
    <tableColumn id="1" name="Controller"/>
    <tableColumn id="2" name="ApplicationName"/>
    <tableColumn id="3" name="TierName"/>
    <tableColumn id="4" name="TierType"/>
    <tableColumn id="5" name="Agen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xceptions"/>
    <tableColumn id="14" name="EXCPM"/>
    <tableColumn id="15" name="HttpErrors"/>
    <tableColumn id="16" name="HTTPEPM"/>
    <tableColumn id="17" name="ErrorsPercentage"/>
    <tableColumn id="18" name="NumNodes"/>
    <tableColumn id="19" name="AvailAgent"/>
    <tableColumn id="20" name="AvailMachine"/>
    <tableColumn id="21" name="HasActivity"/>
    <tableColumn id="22" name="From"/>
    <tableColumn id="23" name="To"/>
    <tableColumn id="24" name="FromUtc"/>
    <tableColumn id="25" name="ToUtc"/>
    <tableColumn id="26" name="Duration"/>
    <tableColumn id="27" name="ApplicationID"/>
    <tableColumn id="28" name="TierID"/>
    <tableColumn id="29" name="DetailLink"/>
    <tableColumn id="30" name="MetricGraphLink"/>
    <tableColumn id="31" name="FlameGraphLink"/>
    <tableColumn id="32" name="FlameChartLink"/>
    <tableColumn id="33" name="ControllerLink"/>
    <tableColumn id="34" name="ApplicationLink"/>
    <tableColumn id="35" name="TierLink"/>
    <tableColumn id="36" name="MetricLink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_Nodes_Full" displayName="t_Nodes_Full" ref="A4:AM17">
  <autoFilter ref="A4:AM17"/>
  <tableColumns count="39">
    <tableColumn id="1" name="Controller"/>
    <tableColumn id="2" name="ApplicationName"/>
    <tableColumn id="3" name="TierName"/>
    <tableColumn id="4" name="NodeName"/>
    <tableColumn id="5" name="Agen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xceptions"/>
    <tableColumn id="14" name="EXCPM"/>
    <tableColumn id="15" name="HttpErrors"/>
    <tableColumn id="16" name="HTTPEPM"/>
    <tableColumn id="17" name="ErrorsPercentage"/>
    <tableColumn id="18" name="AvailAgent"/>
    <tableColumn id="19" name="AvailMachine"/>
    <tableColumn id="20" name="HasActivity"/>
    <tableColumn id="21" name="IsAPMAgentUsed"/>
    <tableColumn id="22" name="IsMachineAgentUsed"/>
    <tableColumn id="23" name="From"/>
    <tableColumn id="24" name="To"/>
    <tableColumn id="25" name="FromUtc"/>
    <tableColumn id="26" name="ToUtc"/>
    <tableColumn id="27" name="Duration"/>
    <tableColumn id="28" name="ApplicationID"/>
    <tableColumn id="29" name="TierID"/>
    <tableColumn id="30" name="NodeID"/>
    <tableColumn id="31" name="DetailLink"/>
    <tableColumn id="32" name="MetricGraphLink"/>
    <tableColumn id="33" name="FlameGraphLink"/>
    <tableColumn id="34" name="FlameChartLink"/>
    <tableColumn id="35" name="ControllerLink"/>
    <tableColumn id="36" name="ApplicationLink"/>
    <tableColumn id="37" name="TierLink"/>
    <tableColumn id="38" name="NodeLink"/>
    <tableColumn id="39" name="MetricLink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8" name="t_Nodes_Hourly" displayName="t_Nodes_Hourly" ref="A4:AM17">
  <autoFilter ref="A4:AM17"/>
  <tableColumns count="39">
    <tableColumn id="1" name="Controller"/>
    <tableColumn id="2" name="ApplicationName"/>
    <tableColumn id="3" name="TierName"/>
    <tableColumn id="4" name="NodeName"/>
    <tableColumn id="5" name="AgentType"/>
    <tableColumn id="6" name="ART"/>
    <tableColumn id="7" name="ARTRange"/>
    <tableColumn id="8" name="TimeTotal"/>
    <tableColumn id="9" name="Calls"/>
    <tableColumn id="10" name="CPM"/>
    <tableColumn id="11" name="Errors"/>
    <tableColumn id="12" name="EPM"/>
    <tableColumn id="13" name="Exceptions"/>
    <tableColumn id="14" name="EXCPM"/>
    <tableColumn id="15" name="HttpErrors"/>
    <tableColumn id="16" name="HTTPEPM"/>
    <tableColumn id="17" name="ErrorsPercentage"/>
    <tableColumn id="18" name="AvailAgent"/>
    <tableColumn id="19" name="AvailMachine"/>
    <tableColumn id="20" name="HasActivity"/>
    <tableColumn id="21" name="IsAPMAgentUsed"/>
    <tableColumn id="22" name="IsMachineAgentUsed"/>
    <tableColumn id="23" name="From"/>
    <tableColumn id="24" name="To"/>
    <tableColumn id="25" name="FromUtc"/>
    <tableColumn id="26" name="ToUtc"/>
    <tableColumn id="27" name="Duration"/>
    <tableColumn id="28" name="ApplicationID"/>
    <tableColumn id="29" name="TierID"/>
    <tableColumn id="30" name="NodeID"/>
    <tableColumn id="31" name="DetailLink"/>
    <tableColumn id="32" name="MetricGraphLink"/>
    <tableColumn id="33" name="FlameGraphLink"/>
    <tableColumn id="34" name="FlameChartLink"/>
    <tableColumn id="35" name="ControllerLink"/>
    <tableColumn id="36" name="ApplicationLink"/>
    <tableColumn id="37" name="TierLink"/>
    <tableColumn id="38" name="NodeLink"/>
    <tableColumn id="39" name="MetricLink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9" name="t_Backends_Full" displayName="t_Backends_Full" ref="A4:Z10">
  <autoFilter ref="A4:Z10"/>
  <tableColumns count="26">
    <tableColumn id="1" name="Controller"/>
    <tableColumn id="2" name="ApplicationName"/>
    <tableColumn id="3" name="BackendName"/>
    <tableColumn id="4" name="BackendType"/>
    <tableColumn id="5" name="ART"/>
    <tableColumn id="6" name="ARTRange"/>
    <tableColumn id="7" name="TimeTotal"/>
    <tableColumn id="8" name="Calls"/>
    <tableColumn id="9" name="CPM"/>
    <tableColumn id="10" name="Errors"/>
    <tableColumn id="11" name="EPM"/>
    <tableColumn id="12" name="ErrorsPercentage"/>
    <tableColumn id="13" name="HasActivity"/>
    <tableColumn id="14" name="From"/>
    <tableColumn id="15" name="To"/>
    <tableColumn id="16" name="FromUtc"/>
    <tableColumn id="17" name="ToUtc"/>
    <tableColumn id="18" name="Duration"/>
    <tableColumn id="19" name="ApplicationID"/>
    <tableColumn id="20" name="BackendID"/>
    <tableColumn id="21" name="DetailLink"/>
    <tableColumn id="22" name="MetricGraphLink"/>
    <tableColumn id="23" name="ControllerLink"/>
    <tableColumn id="24" name="ApplicationLink"/>
    <tableColumn id="25" name="BackendLink"/>
    <tableColumn id="26" name="Metric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3.xml"/><Relationship Id="rId2" Type="http://schemas.openxmlformats.org/officeDocument/2006/relationships/drawing" Target="../drawings/drawing10.xml"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4.xml"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5.xml"/><Relationship Id="rId2" Type="http://schemas.openxmlformats.org/officeDocument/2006/relationships/drawing" Target="../drawings/drawing14.xml"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6.xml"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5.xml"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7.xml"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table" Target="../tables/table13.xml"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table" Target="../tables/table14.xml"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8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1.xml"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pivotTable" Target="/xl/pivotTables/pivotTable2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5" topLeftCell="A26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=HYPERLINK("#'5.Tiers'!A1", "&lt;Go&gt;")</f>
      </c>
    </row>
  </sheetData>
  <headerFooter/>
  <drawing r:id="rId2"/>
</worksheet>
</file>

<file path=xl/worksheets/sheet11.xml><?xml version="1.0" encoding="utf-8"?>
<worksheet xmlns:r="http://schemas.openxmlformats.org/officeDocument/2006/relationships" xmlns="http://schemas.openxmlformats.org/spreadsheetml/2006/main">
  <dimension ref="A1:AM17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23" max="23" width="20" customWidth="1"/>
    <col min="24" max="24" width="20" customWidth="1"/>
    <col min="25" max="25" width="20" customWidth="1"/>
    <col min="26" max="2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=HYPERLINK("#'6.Nodes.Perf'!A1", "&lt;Go&gt;")</f>
      </c>
    </row>
    <row r="3">
      <c r="A3" s="0" t="s">
        <v>111</v>
      </c>
      <c r="B3" s="1">
        <f>=HYPERLINK("#'6.Nodes.Availability'!A1", "&lt;Go&gt;")</f>
      </c>
    </row>
    <row r="4">
      <c r="A4" s="0" t="s">
        <v>23</v>
      </c>
      <c r="B4" s="0" t="s">
        <v>83</v>
      </c>
      <c r="C4" s="0" t="s">
        <v>112</v>
      </c>
      <c r="D4" s="0" t="s">
        <v>167</v>
      </c>
      <c r="E4" s="0" t="s">
        <v>114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91</v>
      </c>
      <c r="N4" s="0" t="s">
        <v>92</v>
      </c>
      <c r="O4" s="0" t="s">
        <v>93</v>
      </c>
      <c r="P4" s="0" t="s">
        <v>94</v>
      </c>
      <c r="Q4" s="0" t="s">
        <v>95</v>
      </c>
      <c r="R4" s="0" t="s">
        <v>116</v>
      </c>
      <c r="S4" s="0" t="s">
        <v>117</v>
      </c>
      <c r="T4" s="0" t="s">
        <v>96</v>
      </c>
      <c r="U4" s="0" t="s">
        <v>168</v>
      </c>
      <c r="V4" s="0" t="s">
        <v>169</v>
      </c>
      <c r="W4" s="0" t="s">
        <v>4</v>
      </c>
      <c r="X4" s="0" t="s">
        <v>5</v>
      </c>
      <c r="Y4" s="0" t="s">
        <v>97</v>
      </c>
      <c r="Z4" s="0" t="s">
        <v>98</v>
      </c>
      <c r="AA4" s="0" t="s">
        <v>99</v>
      </c>
      <c r="AB4" s="0" t="s">
        <v>26</v>
      </c>
      <c r="AC4" s="0" t="s">
        <v>118</v>
      </c>
      <c r="AD4" s="0" t="s">
        <v>170</v>
      </c>
      <c r="AE4" s="0" t="s">
        <v>100</v>
      </c>
      <c r="AF4" s="0" t="s">
        <v>101</v>
      </c>
      <c r="AG4" s="0" t="s">
        <v>102</v>
      </c>
      <c r="AH4" s="0" t="s">
        <v>103</v>
      </c>
      <c r="AI4" s="0" t="s">
        <v>78</v>
      </c>
      <c r="AJ4" s="0" t="s">
        <v>104</v>
      </c>
      <c r="AK4" s="0" t="s">
        <v>119</v>
      </c>
      <c r="AL4" s="0" t="s">
        <v>171</v>
      </c>
      <c r="AM4" s="0" t="s">
        <v>105</v>
      </c>
    </row>
    <row r="5">
      <c r="A5" s="0" t="s">
        <v>28</v>
      </c>
      <c r="B5" s="0" t="s">
        <v>30</v>
      </c>
      <c r="C5" s="0" t="s">
        <v>120</v>
      </c>
      <c r="D5" s="0" t="s">
        <v>172</v>
      </c>
      <c r="E5" s="0" t="s">
        <v>173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>
        <v>0</v>
      </c>
      <c r="P5" s="0">
        <v>0</v>
      </c>
      <c r="Q5" s="0">
        <v>0</v>
      </c>
      <c r="R5" s="0">
        <v>0</v>
      </c>
      <c r="S5" s="0">
        <v>100</v>
      </c>
      <c r="T5" s="0" t="b">
        <v>0</v>
      </c>
      <c r="U5" s="0" t="b">
        <v>0</v>
      </c>
      <c r="V5" s="0" t="b">
        <v>1</v>
      </c>
      <c r="W5" s="2">
        <v>44613.583333333336</v>
      </c>
      <c r="X5" s="2">
        <v>44613.625</v>
      </c>
      <c r="Y5" s="2">
        <v>44613.208333333336</v>
      </c>
      <c r="Z5" s="2">
        <v>44613.25</v>
      </c>
      <c r="AA5" s="0">
        <v>60</v>
      </c>
      <c r="AB5" s="0">
        <v>12</v>
      </c>
      <c r="AC5" s="0">
        <v>33</v>
      </c>
      <c r="AD5" s="0">
        <v>703</v>
      </c>
      <c r="AE5" s="1">
        <f>=HYPERLINK("10.175.1.14\MWEB.12\NODE\EntityDetails.10.175.1.14.MWEB.12.skcaws1c0mo0.703.xlsx", "&lt;Detail&gt;")</f>
      </c>
      <c r="AF5" s="1">
        <f>=HYPERLINK("10.175.1.14\MWEB.12\NODE\MetricGraphs.NODE.10.175.1.14.MWEB.12.xlsx", "&lt;Metrics&gt;")</f>
      </c>
      <c r="AG5" s="1">
        <f>=HYPERLINK("10.175.1.14\MWEB.12\NODE\FlameGraph.Node.10.175.1.14.MWEB.12.skcaws1c0mo0.703.svg", "&lt;FlGraph&gt;")</f>
      </c>
      <c r="AH5" s="1">
        <f>=HYPERLINK("10.175.1.14\MWEB.12\NODE\FlameChart.Node.10.175.1.14.MWEB.12.skcaws1c0mo0.703.svg", "&lt;FlChart&gt;")</f>
      </c>
      <c r="AI5" s="0" t="s">
        <v>107</v>
      </c>
      <c r="AJ5" s="0" t="s">
        <v>108</v>
      </c>
      <c r="AK5" s="0" t="s">
        <v>123</v>
      </c>
      <c r="AL5" s="0" t="s">
        <v>174</v>
      </c>
      <c r="AM5" s="0" t="s">
        <v>175</v>
      </c>
    </row>
    <row r="6">
      <c r="A6" s="0" t="s">
        <v>28</v>
      </c>
      <c r="B6" s="0" t="s">
        <v>30</v>
      </c>
      <c r="C6" s="0" t="s">
        <v>147</v>
      </c>
      <c r="D6" s="0" t="s">
        <v>176</v>
      </c>
      <c r="E6" s="0" t="s">
        <v>122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>
        <v>0</v>
      </c>
      <c r="O6" s="0">
        <v>0</v>
      </c>
      <c r="P6" s="0">
        <v>0</v>
      </c>
      <c r="Q6" s="0">
        <v>0</v>
      </c>
      <c r="R6" s="0">
        <v>0</v>
      </c>
      <c r="S6" s="0">
        <v>0</v>
      </c>
      <c r="T6" s="0" t="b">
        <v>0</v>
      </c>
      <c r="U6" s="0" t="b">
        <v>0</v>
      </c>
      <c r="V6" s="0" t="b">
        <v>0</v>
      </c>
      <c r="W6" s="2">
        <v>44613.583333333336</v>
      </c>
      <c r="X6" s="2">
        <v>44613.625</v>
      </c>
      <c r="Y6" s="2">
        <v>44613.208333333336</v>
      </c>
      <c r="Z6" s="2">
        <v>44613.25</v>
      </c>
      <c r="AA6" s="0">
        <v>60</v>
      </c>
      <c r="AB6" s="0">
        <v>12</v>
      </c>
      <c r="AC6" s="0">
        <v>49</v>
      </c>
      <c r="AD6" s="0">
        <v>2774</v>
      </c>
      <c r="AE6" s="1">
        <f>=HYPERLINK("10.175.1.14\MWEB.12\NODE\EntityDetails.10.175.1.14.MWEB.12.skmweb2x0am0.2774.xlsx", "&lt;Detail&gt;")</f>
      </c>
      <c r="AF6" s="1">
        <f>=HYPERLINK("10.175.1.14\MWEB.12\NODE\MetricGraphs.NODE.10.175.1.14.MWEB.12.xlsx", "&lt;Metrics&gt;")</f>
      </c>
      <c r="AG6" s="1">
        <f>=HYPERLINK("10.175.1.14\MWEB.12\NODE\FlameGraph.Node.10.175.1.14.MWEB.12.skmweb2x0am0.2774.svg", "&lt;FlGraph&gt;")</f>
      </c>
      <c r="AH6" s="1">
        <f>=HYPERLINK("10.175.1.14\MWEB.12\NODE\FlameChart.Node.10.175.1.14.MWEB.12.skmweb2x0am0.2774.svg", "&lt;FlChart&gt;")</f>
      </c>
      <c r="AI6" s="0" t="s">
        <v>107</v>
      </c>
      <c r="AJ6" s="0" t="s">
        <v>108</v>
      </c>
      <c r="AK6" s="0" t="s">
        <v>148</v>
      </c>
      <c r="AL6" s="0" t="s">
        <v>177</v>
      </c>
      <c r="AM6" s="0" t="s">
        <v>109</v>
      </c>
    </row>
    <row r="7">
      <c r="A7" s="0" t="s">
        <v>28</v>
      </c>
      <c r="B7" s="0" t="s">
        <v>30</v>
      </c>
      <c r="C7" s="0" t="s">
        <v>147</v>
      </c>
      <c r="D7" s="0" t="s">
        <v>178</v>
      </c>
      <c r="E7" s="0" t="s">
        <v>122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>
        <v>0</v>
      </c>
      <c r="O7" s="0">
        <v>0</v>
      </c>
      <c r="P7" s="0">
        <v>0</v>
      </c>
      <c r="Q7" s="0">
        <v>0</v>
      </c>
      <c r="R7" s="0">
        <v>0</v>
      </c>
      <c r="S7" s="0">
        <v>0</v>
      </c>
      <c r="T7" s="0" t="b">
        <v>0</v>
      </c>
      <c r="U7" s="0" t="b">
        <v>0</v>
      </c>
      <c r="V7" s="0" t="b">
        <v>0</v>
      </c>
      <c r="W7" s="2">
        <v>44613.583333333336</v>
      </c>
      <c r="X7" s="2">
        <v>44613.625</v>
      </c>
      <c r="Y7" s="2">
        <v>44613.208333333336</v>
      </c>
      <c r="Z7" s="2">
        <v>44613.25</v>
      </c>
      <c r="AA7" s="0">
        <v>60</v>
      </c>
      <c r="AB7" s="0">
        <v>12</v>
      </c>
      <c r="AC7" s="0">
        <v>49</v>
      </c>
      <c r="AD7" s="0">
        <v>2775</v>
      </c>
      <c r="AE7" s="1">
        <f>=HYPERLINK("10.175.1.14\MWEB.12\NODE\EntityDetails.10.175.1.14.MWEB.12.skmweb2x0am0.2775.xlsx", "&lt;Detail&gt;")</f>
      </c>
      <c r="AF7" s="1">
        <f>=HYPERLINK("10.175.1.14\MWEB.12\NODE\MetricGraphs.NODE.10.175.1.14.MWEB.12.xlsx", "&lt;Metrics&gt;")</f>
      </c>
      <c r="AG7" s="1">
        <f>=HYPERLINK("10.175.1.14\MWEB.12\NODE\FlameGraph.Node.10.175.1.14.MWEB.12.skmweb2x0am0.2775.svg", "&lt;FlGraph&gt;")</f>
      </c>
      <c r="AH7" s="1">
        <f>=HYPERLINK("10.175.1.14\MWEB.12\NODE\FlameChart.Node.10.175.1.14.MWEB.12.skmweb2x0am0.2775.svg", "&lt;FlChart&gt;")</f>
      </c>
      <c r="AI7" s="0" t="s">
        <v>107</v>
      </c>
      <c r="AJ7" s="0" t="s">
        <v>108</v>
      </c>
      <c r="AK7" s="0" t="s">
        <v>148</v>
      </c>
      <c r="AL7" s="0" t="s">
        <v>179</v>
      </c>
      <c r="AM7" s="0" t="s">
        <v>109</v>
      </c>
    </row>
    <row r="8">
      <c r="A8" s="0" t="s">
        <v>28</v>
      </c>
      <c r="B8" s="0" t="s">
        <v>30</v>
      </c>
      <c r="C8" s="0" t="s">
        <v>149</v>
      </c>
      <c r="D8" s="0" t="s">
        <v>180</v>
      </c>
      <c r="E8" s="0" t="s">
        <v>122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>
        <v>0</v>
      </c>
      <c r="O8" s="0">
        <v>0</v>
      </c>
      <c r="P8" s="0">
        <v>0</v>
      </c>
      <c r="Q8" s="0">
        <v>0</v>
      </c>
      <c r="R8" s="0">
        <v>0</v>
      </c>
      <c r="S8" s="0">
        <v>0</v>
      </c>
      <c r="T8" s="0" t="b">
        <v>0</v>
      </c>
      <c r="U8" s="0" t="b">
        <v>0</v>
      </c>
      <c r="V8" s="0" t="b">
        <v>0</v>
      </c>
      <c r="W8" s="2">
        <v>44613.583333333336</v>
      </c>
      <c r="X8" s="2">
        <v>44613.625</v>
      </c>
      <c r="Y8" s="2">
        <v>44613.208333333336</v>
      </c>
      <c r="Z8" s="2">
        <v>44613.25</v>
      </c>
      <c r="AA8" s="0">
        <v>60</v>
      </c>
      <c r="AB8" s="0">
        <v>12</v>
      </c>
      <c r="AC8" s="0">
        <v>50</v>
      </c>
      <c r="AD8" s="0">
        <v>2784</v>
      </c>
      <c r="AE8" s="1">
        <f>=HYPERLINK("10.175.1.14\MWEB.12\NODE\EntityDetails.10.175.1.14.MWEB.12.skmweb2x0an0.2784.xlsx", "&lt;Detail&gt;")</f>
      </c>
      <c r="AF8" s="1">
        <f>=HYPERLINK("10.175.1.14\MWEB.12\NODE\MetricGraphs.NODE.10.175.1.14.MWEB.12.xlsx", "&lt;Metrics&gt;")</f>
      </c>
      <c r="AG8" s="1">
        <f>=HYPERLINK("10.175.1.14\MWEB.12\NODE\FlameGraph.Node.10.175.1.14.MWEB.12.skmweb2x0an0.2784.svg", "&lt;FlGraph&gt;")</f>
      </c>
      <c r="AH8" s="1">
        <f>=HYPERLINK("10.175.1.14\MWEB.12\NODE\FlameChart.Node.10.175.1.14.MWEB.12.skmweb2x0an0.2784.svg", "&lt;FlChart&gt;")</f>
      </c>
      <c r="AI8" s="0" t="s">
        <v>107</v>
      </c>
      <c r="AJ8" s="0" t="s">
        <v>108</v>
      </c>
      <c r="AK8" s="0" t="s">
        <v>150</v>
      </c>
      <c r="AL8" s="0" t="s">
        <v>181</v>
      </c>
      <c r="AM8" s="0" t="s">
        <v>109</v>
      </c>
    </row>
    <row r="9">
      <c r="A9" s="0" t="s">
        <v>28</v>
      </c>
      <c r="B9" s="0" t="s">
        <v>30</v>
      </c>
      <c r="C9" s="0" t="s">
        <v>151</v>
      </c>
      <c r="D9" s="0" t="s">
        <v>182</v>
      </c>
      <c r="E9" s="0" t="s">
        <v>122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>
        <v>0</v>
      </c>
      <c r="O9" s="0">
        <v>0</v>
      </c>
      <c r="P9" s="0">
        <v>0</v>
      </c>
      <c r="Q9" s="0">
        <v>0</v>
      </c>
      <c r="R9" s="0">
        <v>0</v>
      </c>
      <c r="S9" s="0">
        <v>0</v>
      </c>
      <c r="T9" s="0" t="b">
        <v>0</v>
      </c>
      <c r="U9" s="0" t="b">
        <v>0</v>
      </c>
      <c r="V9" s="0" t="b">
        <v>0</v>
      </c>
      <c r="W9" s="2">
        <v>44613.583333333336</v>
      </c>
      <c r="X9" s="2">
        <v>44613.625</v>
      </c>
      <c r="Y9" s="2">
        <v>44613.208333333336</v>
      </c>
      <c r="Z9" s="2">
        <v>44613.25</v>
      </c>
      <c r="AA9" s="0">
        <v>60</v>
      </c>
      <c r="AB9" s="0">
        <v>12</v>
      </c>
      <c r="AC9" s="0">
        <v>52</v>
      </c>
      <c r="AD9" s="0">
        <v>2786</v>
      </c>
      <c r="AE9" s="1">
        <f>=HYPERLINK("10.175.1.14\MWEB.12\NODE\EntityDetails.10.175.1.14.MWEB.12.skmweb2x0an0.2786.xlsx", "&lt;Detail&gt;")</f>
      </c>
      <c r="AF9" s="1">
        <f>=HYPERLINK("10.175.1.14\MWEB.12\NODE\MetricGraphs.NODE.10.175.1.14.MWEB.12.xlsx", "&lt;Metrics&gt;")</f>
      </c>
      <c r="AG9" s="1">
        <f>=HYPERLINK("10.175.1.14\MWEB.12\NODE\FlameGraph.Node.10.175.1.14.MWEB.12.skmweb2x0an0.2786.svg", "&lt;FlGraph&gt;")</f>
      </c>
      <c r="AH9" s="1">
        <f>=HYPERLINK("10.175.1.14\MWEB.12\NODE\FlameChart.Node.10.175.1.14.MWEB.12.skmweb2x0an0.2786.svg", "&lt;FlChart&gt;")</f>
      </c>
      <c r="AI9" s="0" t="s">
        <v>107</v>
      </c>
      <c r="AJ9" s="0" t="s">
        <v>108</v>
      </c>
      <c r="AK9" s="0" t="s">
        <v>152</v>
      </c>
      <c r="AL9" s="0" t="s">
        <v>183</v>
      </c>
      <c r="AM9" s="0" t="s">
        <v>109</v>
      </c>
    </row>
    <row r="10">
      <c r="A10" s="0" t="s">
        <v>28</v>
      </c>
      <c r="B10" s="0" t="s">
        <v>30</v>
      </c>
      <c r="C10" s="0" t="s">
        <v>153</v>
      </c>
      <c r="D10" s="0" t="s">
        <v>184</v>
      </c>
      <c r="E10" s="0" t="s">
        <v>122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>
        <v>0</v>
      </c>
      <c r="O10" s="0">
        <v>0</v>
      </c>
      <c r="P10" s="0">
        <v>0</v>
      </c>
      <c r="Q10" s="0">
        <v>0</v>
      </c>
      <c r="R10" s="0">
        <v>0</v>
      </c>
      <c r="S10" s="0">
        <v>0</v>
      </c>
      <c r="T10" s="0" t="b">
        <v>0</v>
      </c>
      <c r="U10" s="0" t="b">
        <v>0</v>
      </c>
      <c r="V10" s="0" t="b">
        <v>0</v>
      </c>
      <c r="W10" s="2">
        <v>44613.583333333336</v>
      </c>
      <c r="X10" s="2">
        <v>44613.625</v>
      </c>
      <c r="Y10" s="2">
        <v>44613.208333333336</v>
      </c>
      <c r="Z10" s="2">
        <v>44613.25</v>
      </c>
      <c r="AA10" s="0">
        <v>60</v>
      </c>
      <c r="AB10" s="0">
        <v>12</v>
      </c>
      <c r="AC10" s="0">
        <v>51</v>
      </c>
      <c r="AD10" s="0">
        <v>2785</v>
      </c>
      <c r="AE10" s="1">
        <f>=HYPERLINK("10.175.1.14\MWEB.12\NODE\EntityDetails.10.175.1.14.MWEB.12.skmweb2x0an0.2785.xlsx", "&lt;Detail&gt;")</f>
      </c>
      <c r="AF10" s="1">
        <f>=HYPERLINK("10.175.1.14\MWEB.12\NODE\MetricGraphs.NODE.10.175.1.14.MWEB.12.xlsx", "&lt;Metrics&gt;")</f>
      </c>
      <c r="AG10" s="1">
        <f>=HYPERLINK("10.175.1.14\MWEB.12\NODE\FlameGraph.Node.10.175.1.14.MWEB.12.skmweb2x0an0.2785.svg", "&lt;FlGraph&gt;")</f>
      </c>
      <c r="AH10" s="1">
        <f>=HYPERLINK("10.175.1.14\MWEB.12\NODE\FlameChart.Node.10.175.1.14.MWEB.12.skmweb2x0an0.2785.svg", "&lt;FlChart&gt;")</f>
      </c>
      <c r="AI10" s="0" t="s">
        <v>107</v>
      </c>
      <c r="AJ10" s="0" t="s">
        <v>108</v>
      </c>
      <c r="AK10" s="0" t="s">
        <v>154</v>
      </c>
      <c r="AL10" s="0" t="s">
        <v>185</v>
      </c>
      <c r="AM10" s="0" t="s">
        <v>109</v>
      </c>
    </row>
    <row r="11">
      <c r="A11" s="0" t="s">
        <v>28</v>
      </c>
      <c r="B11" s="0" t="s">
        <v>30</v>
      </c>
      <c r="C11" s="0" t="s">
        <v>155</v>
      </c>
      <c r="D11" s="0" t="s">
        <v>186</v>
      </c>
      <c r="E11" s="0" t="s">
        <v>122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>
        <v>0</v>
      </c>
      <c r="O11" s="0">
        <v>0</v>
      </c>
      <c r="P11" s="0">
        <v>0</v>
      </c>
      <c r="Q11" s="0">
        <v>0</v>
      </c>
      <c r="R11" s="0">
        <v>0</v>
      </c>
      <c r="S11" s="0">
        <v>0</v>
      </c>
      <c r="T11" s="0" t="b">
        <v>0</v>
      </c>
      <c r="U11" s="0" t="b">
        <v>0</v>
      </c>
      <c r="V11" s="0" t="b">
        <v>0</v>
      </c>
      <c r="W11" s="2">
        <v>44613.583333333336</v>
      </c>
      <c r="X11" s="2">
        <v>44613.625</v>
      </c>
      <c r="Y11" s="2">
        <v>44613.208333333336</v>
      </c>
      <c r="Z11" s="2">
        <v>44613.25</v>
      </c>
      <c r="AA11" s="0">
        <v>60</v>
      </c>
      <c r="AB11" s="0">
        <v>12</v>
      </c>
      <c r="AC11" s="0">
        <v>54</v>
      </c>
      <c r="AD11" s="0">
        <v>2781</v>
      </c>
      <c r="AE11" s="1">
        <f>=HYPERLINK("10.175.1.14\MWEB.12\NODE\EntityDetails.10.175.1.14.MWEB.12.skmweb2x0at0.2781.xlsx", "&lt;Detail&gt;")</f>
      </c>
      <c r="AF11" s="1">
        <f>=HYPERLINK("10.175.1.14\MWEB.12\NODE\MetricGraphs.NODE.10.175.1.14.MWEB.12.xlsx", "&lt;Metrics&gt;")</f>
      </c>
      <c r="AG11" s="1">
        <f>=HYPERLINK("10.175.1.14\MWEB.12\NODE\FlameGraph.Node.10.175.1.14.MWEB.12.skmweb2x0at0.2781.svg", "&lt;FlGraph&gt;")</f>
      </c>
      <c r="AH11" s="1">
        <f>=HYPERLINK("10.175.1.14\MWEB.12\NODE\FlameChart.Node.10.175.1.14.MWEB.12.skmweb2x0at0.2781.svg", "&lt;FlChart&gt;")</f>
      </c>
      <c r="AI11" s="0" t="s">
        <v>107</v>
      </c>
      <c r="AJ11" s="0" t="s">
        <v>108</v>
      </c>
      <c r="AK11" s="0" t="s">
        <v>156</v>
      </c>
      <c r="AL11" s="0" t="s">
        <v>187</v>
      </c>
      <c r="AM11" s="0" t="s">
        <v>109</v>
      </c>
    </row>
    <row r="12">
      <c r="A12" s="0" t="s">
        <v>28</v>
      </c>
      <c r="B12" s="0" t="s">
        <v>30</v>
      </c>
      <c r="C12" s="0" t="s">
        <v>157</v>
      </c>
      <c r="D12" s="0" t="s">
        <v>188</v>
      </c>
      <c r="E12" s="0" t="s">
        <v>122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>
        <v>0</v>
      </c>
      <c r="O12" s="0">
        <v>0</v>
      </c>
      <c r="P12" s="0">
        <v>0</v>
      </c>
      <c r="Q12" s="0">
        <v>0</v>
      </c>
      <c r="R12" s="0">
        <v>0</v>
      </c>
      <c r="S12" s="0">
        <v>0</v>
      </c>
      <c r="T12" s="0" t="b">
        <v>0</v>
      </c>
      <c r="U12" s="0" t="b">
        <v>0</v>
      </c>
      <c r="V12" s="0" t="b">
        <v>0</v>
      </c>
      <c r="W12" s="2">
        <v>44613.583333333336</v>
      </c>
      <c r="X12" s="2">
        <v>44613.625</v>
      </c>
      <c r="Y12" s="2">
        <v>44613.208333333336</v>
      </c>
      <c r="Z12" s="2">
        <v>44613.25</v>
      </c>
      <c r="AA12" s="0">
        <v>60</v>
      </c>
      <c r="AB12" s="0">
        <v>12</v>
      </c>
      <c r="AC12" s="0">
        <v>53</v>
      </c>
      <c r="AD12" s="0">
        <v>2780</v>
      </c>
      <c r="AE12" s="1">
        <f>=HYPERLINK("10.175.1.14\MWEB.12\NODE\EntityDetails.10.175.1.14.MWEB.12.skmweb2x0at0.2780.xlsx", "&lt;Detail&gt;")</f>
      </c>
      <c r="AF12" s="1">
        <f>=HYPERLINK("10.175.1.14\MWEB.12\NODE\MetricGraphs.NODE.10.175.1.14.MWEB.12.xlsx", "&lt;Metrics&gt;")</f>
      </c>
      <c r="AG12" s="1">
        <f>=HYPERLINK("10.175.1.14\MWEB.12\NODE\FlameGraph.Node.10.175.1.14.MWEB.12.skmweb2x0at0.2780.svg", "&lt;FlGraph&gt;")</f>
      </c>
      <c r="AH12" s="1">
        <f>=HYPERLINK("10.175.1.14\MWEB.12\NODE\FlameChart.Node.10.175.1.14.MWEB.12.skmweb2x0at0.2780.svg", "&lt;FlChart&gt;")</f>
      </c>
      <c r="AI12" s="0" t="s">
        <v>107</v>
      </c>
      <c r="AJ12" s="0" t="s">
        <v>108</v>
      </c>
      <c r="AK12" s="0" t="s">
        <v>158</v>
      </c>
      <c r="AL12" s="0" t="s">
        <v>189</v>
      </c>
      <c r="AM12" s="0" t="s">
        <v>109</v>
      </c>
    </row>
    <row r="13">
      <c r="A13" s="0" t="s">
        <v>28</v>
      </c>
      <c r="B13" s="0" t="s">
        <v>30</v>
      </c>
      <c r="C13" s="0" t="s">
        <v>159</v>
      </c>
      <c r="D13" s="0" t="s">
        <v>190</v>
      </c>
      <c r="E13" s="0" t="s">
        <v>122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>
        <v>0</v>
      </c>
      <c r="O13" s="0">
        <v>0</v>
      </c>
      <c r="P13" s="0">
        <v>0</v>
      </c>
      <c r="Q13" s="0">
        <v>0</v>
      </c>
      <c r="R13" s="0">
        <v>0</v>
      </c>
      <c r="S13" s="0">
        <v>0</v>
      </c>
      <c r="T13" s="0" t="b">
        <v>0</v>
      </c>
      <c r="U13" s="0" t="b">
        <v>0</v>
      </c>
      <c r="V13" s="0" t="b">
        <v>0</v>
      </c>
      <c r="W13" s="2">
        <v>44613.583333333336</v>
      </c>
      <c r="X13" s="2">
        <v>44613.625</v>
      </c>
      <c r="Y13" s="2">
        <v>44613.208333333336</v>
      </c>
      <c r="Z13" s="2">
        <v>44613.25</v>
      </c>
      <c r="AA13" s="0">
        <v>60</v>
      </c>
      <c r="AB13" s="0">
        <v>12</v>
      </c>
      <c r="AC13" s="0">
        <v>56</v>
      </c>
      <c r="AD13" s="0">
        <v>2782</v>
      </c>
      <c r="AE13" s="1">
        <f>=HYPERLINK("10.175.1.14\MWEB.12\NODE\EntityDetails.10.175.1.14.MWEB.12.skmweb2x0at0.2782.xlsx", "&lt;Detail&gt;")</f>
      </c>
      <c r="AF13" s="1">
        <f>=HYPERLINK("10.175.1.14\MWEB.12\NODE\MetricGraphs.NODE.10.175.1.14.MWEB.12.xlsx", "&lt;Metrics&gt;")</f>
      </c>
      <c r="AG13" s="1">
        <f>=HYPERLINK("10.175.1.14\MWEB.12\NODE\FlameGraph.Node.10.175.1.14.MWEB.12.skmweb2x0at0.2782.svg", "&lt;FlGraph&gt;")</f>
      </c>
      <c r="AH13" s="1">
        <f>=HYPERLINK("10.175.1.14\MWEB.12\NODE\FlameChart.Node.10.175.1.14.MWEB.12.skmweb2x0at0.2782.svg", "&lt;FlChart&gt;")</f>
      </c>
      <c r="AI13" s="0" t="s">
        <v>107</v>
      </c>
      <c r="AJ13" s="0" t="s">
        <v>108</v>
      </c>
      <c r="AK13" s="0" t="s">
        <v>160</v>
      </c>
      <c r="AL13" s="0" t="s">
        <v>191</v>
      </c>
      <c r="AM13" s="0" t="s">
        <v>109</v>
      </c>
    </row>
    <row r="14">
      <c r="A14" s="0" t="s">
        <v>28</v>
      </c>
      <c r="B14" s="0" t="s">
        <v>30</v>
      </c>
      <c r="C14" s="0" t="s">
        <v>163</v>
      </c>
      <c r="D14" s="0" t="s">
        <v>192</v>
      </c>
      <c r="E14" s="0" t="s">
        <v>122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>
        <v>0</v>
      </c>
      <c r="O14" s="0">
        <v>0</v>
      </c>
      <c r="P14" s="0">
        <v>0</v>
      </c>
      <c r="Q14" s="0">
        <v>0</v>
      </c>
      <c r="R14" s="0">
        <v>0</v>
      </c>
      <c r="S14" s="0">
        <v>0</v>
      </c>
      <c r="T14" s="0" t="b">
        <v>0</v>
      </c>
      <c r="U14" s="0" t="b">
        <v>0</v>
      </c>
      <c r="V14" s="0" t="b">
        <v>0</v>
      </c>
      <c r="W14" s="2">
        <v>44613.583333333336</v>
      </c>
      <c r="X14" s="2">
        <v>44613.625</v>
      </c>
      <c r="Y14" s="2">
        <v>44613.208333333336</v>
      </c>
      <c r="Z14" s="2">
        <v>44613.25</v>
      </c>
      <c r="AA14" s="0">
        <v>60</v>
      </c>
      <c r="AB14" s="0">
        <v>12</v>
      </c>
      <c r="AC14" s="0">
        <v>55</v>
      </c>
      <c r="AD14" s="0">
        <v>2103</v>
      </c>
      <c r="AE14" s="1">
        <f>=HYPERLINK("10.175.1.14\MWEB.12\NODE\EntityDetails.10.175.1.14.MWEB.12.skmweb2x0fp0.2103.xlsx", "&lt;Detail&gt;")</f>
      </c>
      <c r="AF14" s="1">
        <f>=HYPERLINK("10.175.1.14\MWEB.12\NODE\MetricGraphs.NODE.10.175.1.14.MWEB.12.xlsx", "&lt;Metrics&gt;")</f>
      </c>
      <c r="AG14" s="1">
        <f>=HYPERLINK("10.175.1.14\MWEB.12\NODE\FlameGraph.Node.10.175.1.14.MWEB.12.skmweb2x0fp0.2103.svg", "&lt;FlGraph&gt;")</f>
      </c>
      <c r="AH14" s="1">
        <f>=HYPERLINK("10.175.1.14\MWEB.12\NODE\FlameChart.Node.10.175.1.14.MWEB.12.skmweb2x0fp0.2103.svg", "&lt;FlChart&gt;")</f>
      </c>
      <c r="AI14" s="0" t="s">
        <v>107</v>
      </c>
      <c r="AJ14" s="0" t="s">
        <v>108</v>
      </c>
      <c r="AK14" s="0" t="s">
        <v>164</v>
      </c>
      <c r="AL14" s="0" t="s">
        <v>193</v>
      </c>
      <c r="AM14" s="0" t="s">
        <v>109</v>
      </c>
    </row>
    <row r="15">
      <c r="A15" s="0" t="s">
        <v>28</v>
      </c>
      <c r="B15" s="0" t="s">
        <v>30</v>
      </c>
      <c r="C15" s="0" t="s">
        <v>165</v>
      </c>
      <c r="D15" s="0" t="s">
        <v>194</v>
      </c>
      <c r="E15" s="0" t="s">
        <v>122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>
        <v>0</v>
      </c>
      <c r="O15" s="0">
        <v>0</v>
      </c>
      <c r="P15" s="0">
        <v>0</v>
      </c>
      <c r="Q15" s="0">
        <v>0</v>
      </c>
      <c r="R15" s="0">
        <v>0</v>
      </c>
      <c r="S15" s="0">
        <v>0</v>
      </c>
      <c r="T15" s="0" t="b">
        <v>0</v>
      </c>
      <c r="U15" s="0" t="b">
        <v>0</v>
      </c>
      <c r="V15" s="0" t="b">
        <v>0</v>
      </c>
      <c r="W15" s="2">
        <v>44613.583333333336</v>
      </c>
      <c r="X15" s="2">
        <v>44613.625</v>
      </c>
      <c r="Y15" s="2">
        <v>44613.208333333336</v>
      </c>
      <c r="Z15" s="2">
        <v>44613.25</v>
      </c>
      <c r="AA15" s="0">
        <v>60</v>
      </c>
      <c r="AB15" s="0">
        <v>12</v>
      </c>
      <c r="AC15" s="0">
        <v>47</v>
      </c>
      <c r="AD15" s="0">
        <v>2079</v>
      </c>
      <c r="AE15" s="1">
        <f>=HYPERLINK("10.175.1.14\MWEB.12\NODE\EntityDetails.10.175.1.14.MWEB.12.skmweb2x0od0.2079.xlsx", "&lt;Detail&gt;")</f>
      </c>
      <c r="AF15" s="1">
        <f>=HYPERLINK("10.175.1.14\MWEB.12\NODE\MetricGraphs.NODE.10.175.1.14.MWEB.12.xlsx", "&lt;Metrics&gt;")</f>
      </c>
      <c r="AG15" s="1">
        <f>=HYPERLINK("10.175.1.14\MWEB.12\NODE\FlameGraph.Node.10.175.1.14.MWEB.12.skmweb2x0od0.2079.svg", "&lt;FlGraph&gt;")</f>
      </c>
      <c r="AH15" s="1">
        <f>=HYPERLINK("10.175.1.14\MWEB.12\NODE\FlameChart.Node.10.175.1.14.MWEB.12.skmweb2x0od0.2079.svg", "&lt;FlChart&gt;")</f>
      </c>
      <c r="AI15" s="0" t="s">
        <v>107</v>
      </c>
      <c r="AJ15" s="0" t="s">
        <v>108</v>
      </c>
      <c r="AK15" s="0" t="s">
        <v>166</v>
      </c>
      <c r="AL15" s="0" t="s">
        <v>195</v>
      </c>
      <c r="AM15" s="0" t="s">
        <v>109</v>
      </c>
    </row>
    <row r="16">
      <c r="A16" s="0" t="s">
        <v>28</v>
      </c>
      <c r="B16" s="0" t="s">
        <v>30</v>
      </c>
      <c r="C16" s="0" t="s">
        <v>165</v>
      </c>
      <c r="D16" s="0" t="s">
        <v>196</v>
      </c>
      <c r="E16" s="0" t="s">
        <v>122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>
        <v>0</v>
      </c>
      <c r="O16" s="0">
        <v>0</v>
      </c>
      <c r="P16" s="0">
        <v>0</v>
      </c>
      <c r="Q16" s="0">
        <v>0</v>
      </c>
      <c r="R16" s="0">
        <v>0</v>
      </c>
      <c r="S16" s="0">
        <v>0</v>
      </c>
      <c r="T16" s="0" t="b">
        <v>0</v>
      </c>
      <c r="U16" s="0" t="b">
        <v>0</v>
      </c>
      <c r="V16" s="0" t="b">
        <v>0</v>
      </c>
      <c r="W16" s="2">
        <v>44613.583333333336</v>
      </c>
      <c r="X16" s="2">
        <v>44613.625</v>
      </c>
      <c r="Y16" s="2">
        <v>44613.208333333336</v>
      </c>
      <c r="Z16" s="2">
        <v>44613.25</v>
      </c>
      <c r="AA16" s="0">
        <v>60</v>
      </c>
      <c r="AB16" s="0">
        <v>12</v>
      </c>
      <c r="AC16" s="0">
        <v>47</v>
      </c>
      <c r="AD16" s="0">
        <v>2080</v>
      </c>
      <c r="AE16" s="1">
        <f>=HYPERLINK("10.175.1.14\MWEB.12\NODE\EntityDetails.10.175.1.14.MWEB.12.skmweb2x0od0.2080.xlsx", "&lt;Detail&gt;")</f>
      </c>
      <c r="AF16" s="1">
        <f>=HYPERLINK("10.175.1.14\MWEB.12\NODE\MetricGraphs.NODE.10.175.1.14.MWEB.12.xlsx", "&lt;Metrics&gt;")</f>
      </c>
      <c r="AG16" s="1">
        <f>=HYPERLINK("10.175.1.14\MWEB.12\NODE\FlameGraph.Node.10.175.1.14.MWEB.12.skmweb2x0od0.2080.svg", "&lt;FlGraph&gt;")</f>
      </c>
      <c r="AH16" s="1">
        <f>=HYPERLINK("10.175.1.14\MWEB.12\NODE\FlameChart.Node.10.175.1.14.MWEB.12.skmweb2x0od0.2080.svg", "&lt;FlChart&gt;")</f>
      </c>
      <c r="AI16" s="0" t="s">
        <v>107</v>
      </c>
      <c r="AJ16" s="0" t="s">
        <v>108</v>
      </c>
      <c r="AK16" s="0" t="s">
        <v>166</v>
      </c>
      <c r="AL16" s="0" t="s">
        <v>197</v>
      </c>
      <c r="AM16" s="0" t="s">
        <v>109</v>
      </c>
    </row>
    <row r="17">
      <c r="A17" s="0" t="s">
        <v>28</v>
      </c>
      <c r="B17" s="0" t="s">
        <v>30</v>
      </c>
      <c r="C17" s="0" t="s">
        <v>165</v>
      </c>
      <c r="D17" s="0" t="s">
        <v>198</v>
      </c>
      <c r="E17" s="0" t="s">
        <v>122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>
        <v>0</v>
      </c>
      <c r="O17" s="0">
        <v>0</v>
      </c>
      <c r="P17" s="0">
        <v>0</v>
      </c>
      <c r="Q17" s="0">
        <v>0</v>
      </c>
      <c r="R17" s="0">
        <v>0</v>
      </c>
      <c r="S17" s="0">
        <v>0</v>
      </c>
      <c r="T17" s="0" t="b">
        <v>0</v>
      </c>
      <c r="U17" s="0" t="b">
        <v>0</v>
      </c>
      <c r="V17" s="0" t="b">
        <v>0</v>
      </c>
      <c r="W17" s="2">
        <v>44613.583333333336</v>
      </c>
      <c r="X17" s="2">
        <v>44613.625</v>
      </c>
      <c r="Y17" s="2">
        <v>44613.208333333336</v>
      </c>
      <c r="Z17" s="2">
        <v>44613.25</v>
      </c>
      <c r="AA17" s="0">
        <v>60</v>
      </c>
      <c r="AB17" s="0">
        <v>12</v>
      </c>
      <c r="AC17" s="0">
        <v>47</v>
      </c>
      <c r="AD17" s="0">
        <v>2792</v>
      </c>
      <c r="AE17" s="1">
        <f>=HYPERLINK("10.175.1.14\MWEB.12\NODE\EntityDetails.10.175.1.14.MWEB.12.skmweb2x0od0.2792.xlsx", "&lt;Detail&gt;")</f>
      </c>
      <c r="AF17" s="1">
        <f>=HYPERLINK("10.175.1.14\MWEB.12\NODE\MetricGraphs.NODE.10.175.1.14.MWEB.12.xlsx", "&lt;Metrics&gt;")</f>
      </c>
      <c r="AG17" s="1">
        <f>=HYPERLINK("10.175.1.14\MWEB.12\NODE\FlameGraph.Node.10.175.1.14.MWEB.12.skmweb2x0od0.2792.svg", "&lt;FlGraph&gt;")</f>
      </c>
      <c r="AH17" s="1">
        <f>=HYPERLINK("10.175.1.14\MWEB.12\NODE\FlameChart.Node.10.175.1.14.MWEB.12.skmweb2x0od0.2792.svg", "&lt;FlChart&gt;")</f>
      </c>
      <c r="AI17" s="0" t="s">
        <v>107</v>
      </c>
      <c r="AJ17" s="0" t="s">
        <v>108</v>
      </c>
      <c r="AK17" s="0" t="s">
        <v>166</v>
      </c>
      <c r="AL17" s="0" t="s">
        <v>199</v>
      </c>
      <c r="AM17" s="0" t="s">
        <v>109</v>
      </c>
    </row>
  </sheetData>
  <conditionalFormatting sqref="Q5:Q17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17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17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17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12.xml><?xml version="1.0" encoding="utf-8"?>
<worksheet xmlns:r="http://schemas.openxmlformats.org/officeDocument/2006/relationships" xmlns="http://schemas.openxmlformats.org/spreadsheetml/2006/main">
  <dimension ref="A1:AM17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23" max="23" width="20" customWidth="1"/>
    <col min="24" max="24" width="20" customWidth="1"/>
    <col min="25" max="25" width="20" customWidth="1"/>
    <col min="26" max="26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=HYPERLINK("#'6.Nodes.Perf'!A1", "&lt;Go&gt;")</f>
      </c>
    </row>
    <row r="3">
      <c r="A3" s="0" t="s">
        <v>111</v>
      </c>
      <c r="B3" s="1">
        <f>=HYPERLINK("#'6.Nodes.Availability'!A1", "&lt;Go&gt;")</f>
      </c>
    </row>
    <row r="4">
      <c r="A4" s="0" t="s">
        <v>23</v>
      </c>
      <c r="B4" s="0" t="s">
        <v>83</v>
      </c>
      <c r="C4" s="0" t="s">
        <v>112</v>
      </c>
      <c r="D4" s="0" t="s">
        <v>167</v>
      </c>
      <c r="E4" s="0" t="s">
        <v>114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91</v>
      </c>
      <c r="N4" s="0" t="s">
        <v>92</v>
      </c>
      <c r="O4" s="0" t="s">
        <v>93</v>
      </c>
      <c r="P4" s="0" t="s">
        <v>94</v>
      </c>
      <c r="Q4" s="0" t="s">
        <v>95</v>
      </c>
      <c r="R4" s="0" t="s">
        <v>116</v>
      </c>
      <c r="S4" s="0" t="s">
        <v>117</v>
      </c>
      <c r="T4" s="0" t="s">
        <v>96</v>
      </c>
      <c r="U4" s="0" t="s">
        <v>168</v>
      </c>
      <c r="V4" s="0" t="s">
        <v>169</v>
      </c>
      <c r="W4" s="0" t="s">
        <v>4</v>
      </c>
      <c r="X4" s="0" t="s">
        <v>5</v>
      </c>
      <c r="Y4" s="0" t="s">
        <v>97</v>
      </c>
      <c r="Z4" s="0" t="s">
        <v>98</v>
      </c>
      <c r="AA4" s="0" t="s">
        <v>99</v>
      </c>
      <c r="AB4" s="0" t="s">
        <v>26</v>
      </c>
      <c r="AC4" s="0" t="s">
        <v>118</v>
      </c>
      <c r="AD4" s="0" t="s">
        <v>170</v>
      </c>
      <c r="AE4" s="0" t="s">
        <v>100</v>
      </c>
      <c r="AF4" s="0" t="s">
        <v>101</v>
      </c>
      <c r="AG4" s="0" t="s">
        <v>102</v>
      </c>
      <c r="AH4" s="0" t="s">
        <v>103</v>
      </c>
      <c r="AI4" s="0" t="s">
        <v>78</v>
      </c>
      <c r="AJ4" s="0" t="s">
        <v>104</v>
      </c>
      <c r="AK4" s="0" t="s">
        <v>119</v>
      </c>
      <c r="AL4" s="0" t="s">
        <v>171</v>
      </c>
      <c r="AM4" s="0" t="s">
        <v>105</v>
      </c>
    </row>
    <row r="5">
      <c r="A5" s="0" t="s">
        <v>28</v>
      </c>
      <c r="B5" s="0" t="s">
        <v>30</v>
      </c>
      <c r="C5" s="0" t="s">
        <v>120</v>
      </c>
      <c r="D5" s="0" t="s">
        <v>172</v>
      </c>
      <c r="E5" s="0" t="s">
        <v>173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>
        <v>0</v>
      </c>
      <c r="P5" s="0">
        <v>0</v>
      </c>
      <c r="Q5" s="0">
        <v>0</v>
      </c>
      <c r="R5" s="0">
        <v>0</v>
      </c>
      <c r="S5" s="0">
        <v>100</v>
      </c>
      <c r="T5" s="0" t="b">
        <v>0</v>
      </c>
      <c r="U5" s="0" t="b">
        <v>0</v>
      </c>
      <c r="V5" s="0" t="b">
        <v>1</v>
      </c>
      <c r="W5" s="2">
        <v>44613.583333333336</v>
      </c>
      <c r="X5" s="2">
        <v>44613.625</v>
      </c>
      <c r="Y5" s="2">
        <v>44613.208333333336</v>
      </c>
      <c r="Z5" s="2">
        <v>44613.25</v>
      </c>
      <c r="AA5" s="0">
        <v>60</v>
      </c>
      <c r="AB5" s="0">
        <v>12</v>
      </c>
      <c r="AC5" s="0">
        <v>33</v>
      </c>
      <c r="AD5" s="0">
        <v>703</v>
      </c>
      <c r="AE5" s="1">
        <f>=HYPERLINK("10.175.1.14\MWEB.12\NODE\EntityDetails.10.175.1.14.MWEB.12.skcaws1c0mo0.703.xlsx", "&lt;Detail&gt;")</f>
      </c>
      <c r="AF5" s="1">
        <f>=HYPERLINK("10.175.1.14\MWEB.12\NODE\MetricGraphs.NODE.10.175.1.14.MWEB.12.xlsx", "&lt;Metrics&gt;")</f>
      </c>
      <c r="AG5" s="1">
        <f>=HYPERLINK("10.175.1.14\MWEB.12\NODE\FlameGraph.Node.10.175.1.14.MWEB.12.skcaws1c0mo0.703.svg", "&lt;FlGraph&gt;")</f>
      </c>
      <c r="AH5" s="1">
        <f>=HYPERLINK("10.175.1.14\MWEB.12\NODE\FlameChart.Node.10.175.1.14.MWEB.12.skcaws1c0mo0.703.svg", "&lt;FlChart&gt;")</f>
      </c>
      <c r="AI5" s="0" t="s">
        <v>107</v>
      </c>
      <c r="AJ5" s="0" t="s">
        <v>108</v>
      </c>
      <c r="AK5" s="0" t="s">
        <v>123</v>
      </c>
      <c r="AL5" s="0" t="s">
        <v>174</v>
      </c>
      <c r="AM5" s="0" t="s">
        <v>175</v>
      </c>
    </row>
    <row r="6">
      <c r="A6" s="0" t="s">
        <v>28</v>
      </c>
      <c r="B6" s="0" t="s">
        <v>30</v>
      </c>
      <c r="C6" s="0" t="s">
        <v>147</v>
      </c>
      <c r="D6" s="0" t="s">
        <v>176</v>
      </c>
      <c r="E6" s="0" t="s">
        <v>122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>
        <v>0</v>
      </c>
      <c r="O6" s="0">
        <v>0</v>
      </c>
      <c r="P6" s="0">
        <v>0</v>
      </c>
      <c r="Q6" s="0">
        <v>0</v>
      </c>
      <c r="R6" s="0">
        <v>0</v>
      </c>
      <c r="S6" s="0">
        <v>0</v>
      </c>
      <c r="T6" s="0" t="b">
        <v>0</v>
      </c>
      <c r="U6" s="0" t="b">
        <v>0</v>
      </c>
      <c r="V6" s="0" t="b">
        <v>0</v>
      </c>
      <c r="W6" s="2">
        <v>44613.583333333336</v>
      </c>
      <c r="X6" s="2">
        <v>44613.625</v>
      </c>
      <c r="Y6" s="2">
        <v>44613.208333333336</v>
      </c>
      <c r="Z6" s="2">
        <v>44613.25</v>
      </c>
      <c r="AA6" s="0">
        <v>60</v>
      </c>
      <c r="AB6" s="0">
        <v>12</v>
      </c>
      <c r="AC6" s="0">
        <v>49</v>
      </c>
      <c r="AD6" s="0">
        <v>2774</v>
      </c>
      <c r="AE6" s="1">
        <f>=HYPERLINK("10.175.1.14\MWEB.12\NODE\EntityDetails.10.175.1.14.MWEB.12.skmweb2x0am0.2774.xlsx", "&lt;Detail&gt;")</f>
      </c>
      <c r="AF6" s="1">
        <f>=HYPERLINK("10.175.1.14\MWEB.12\NODE\MetricGraphs.NODE.10.175.1.14.MWEB.12.xlsx", "&lt;Metrics&gt;")</f>
      </c>
      <c r="AG6" s="1">
        <f>=HYPERLINK("10.175.1.14\MWEB.12\NODE\FlameGraph.Node.10.175.1.14.MWEB.12.skmweb2x0am0.2774.svg", "&lt;FlGraph&gt;")</f>
      </c>
      <c r="AH6" s="1">
        <f>=HYPERLINK("10.175.1.14\MWEB.12\NODE\FlameChart.Node.10.175.1.14.MWEB.12.skmweb2x0am0.2774.svg", "&lt;FlChart&gt;")</f>
      </c>
      <c r="AI6" s="0" t="s">
        <v>107</v>
      </c>
      <c r="AJ6" s="0" t="s">
        <v>108</v>
      </c>
      <c r="AK6" s="0" t="s">
        <v>148</v>
      </c>
      <c r="AL6" s="0" t="s">
        <v>177</v>
      </c>
      <c r="AM6" s="0" t="s">
        <v>109</v>
      </c>
    </row>
    <row r="7">
      <c r="A7" s="0" t="s">
        <v>28</v>
      </c>
      <c r="B7" s="0" t="s">
        <v>30</v>
      </c>
      <c r="C7" s="0" t="s">
        <v>147</v>
      </c>
      <c r="D7" s="0" t="s">
        <v>178</v>
      </c>
      <c r="E7" s="0" t="s">
        <v>122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>
        <v>0</v>
      </c>
      <c r="O7" s="0">
        <v>0</v>
      </c>
      <c r="P7" s="0">
        <v>0</v>
      </c>
      <c r="Q7" s="0">
        <v>0</v>
      </c>
      <c r="R7" s="0">
        <v>0</v>
      </c>
      <c r="S7" s="0">
        <v>0</v>
      </c>
      <c r="T7" s="0" t="b">
        <v>0</v>
      </c>
      <c r="U7" s="0" t="b">
        <v>0</v>
      </c>
      <c r="V7" s="0" t="b">
        <v>0</v>
      </c>
      <c r="W7" s="2">
        <v>44613.583333333336</v>
      </c>
      <c r="X7" s="2">
        <v>44613.625</v>
      </c>
      <c r="Y7" s="2">
        <v>44613.208333333336</v>
      </c>
      <c r="Z7" s="2">
        <v>44613.25</v>
      </c>
      <c r="AA7" s="0">
        <v>60</v>
      </c>
      <c r="AB7" s="0">
        <v>12</v>
      </c>
      <c r="AC7" s="0">
        <v>49</v>
      </c>
      <c r="AD7" s="0">
        <v>2775</v>
      </c>
      <c r="AE7" s="1">
        <f>=HYPERLINK("10.175.1.14\MWEB.12\NODE\EntityDetails.10.175.1.14.MWEB.12.skmweb2x0am0.2775.xlsx", "&lt;Detail&gt;")</f>
      </c>
      <c r="AF7" s="1">
        <f>=HYPERLINK("10.175.1.14\MWEB.12\NODE\MetricGraphs.NODE.10.175.1.14.MWEB.12.xlsx", "&lt;Metrics&gt;")</f>
      </c>
      <c r="AG7" s="1">
        <f>=HYPERLINK("10.175.1.14\MWEB.12\NODE\FlameGraph.Node.10.175.1.14.MWEB.12.skmweb2x0am0.2775.svg", "&lt;FlGraph&gt;")</f>
      </c>
      <c r="AH7" s="1">
        <f>=HYPERLINK("10.175.1.14\MWEB.12\NODE\FlameChart.Node.10.175.1.14.MWEB.12.skmweb2x0am0.2775.svg", "&lt;FlChart&gt;")</f>
      </c>
      <c r="AI7" s="0" t="s">
        <v>107</v>
      </c>
      <c r="AJ7" s="0" t="s">
        <v>108</v>
      </c>
      <c r="AK7" s="0" t="s">
        <v>148</v>
      </c>
      <c r="AL7" s="0" t="s">
        <v>179</v>
      </c>
      <c r="AM7" s="0" t="s">
        <v>109</v>
      </c>
    </row>
    <row r="8">
      <c r="A8" s="0" t="s">
        <v>28</v>
      </c>
      <c r="B8" s="0" t="s">
        <v>30</v>
      </c>
      <c r="C8" s="0" t="s">
        <v>149</v>
      </c>
      <c r="D8" s="0" t="s">
        <v>180</v>
      </c>
      <c r="E8" s="0" t="s">
        <v>122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>
        <v>0</v>
      </c>
      <c r="O8" s="0">
        <v>0</v>
      </c>
      <c r="P8" s="0">
        <v>0</v>
      </c>
      <c r="Q8" s="0">
        <v>0</v>
      </c>
      <c r="R8" s="0">
        <v>0</v>
      </c>
      <c r="S8" s="0">
        <v>0</v>
      </c>
      <c r="T8" s="0" t="b">
        <v>0</v>
      </c>
      <c r="U8" s="0" t="b">
        <v>0</v>
      </c>
      <c r="V8" s="0" t="b">
        <v>0</v>
      </c>
      <c r="W8" s="2">
        <v>44613.583333333336</v>
      </c>
      <c r="X8" s="2">
        <v>44613.625</v>
      </c>
      <c r="Y8" s="2">
        <v>44613.208333333336</v>
      </c>
      <c r="Z8" s="2">
        <v>44613.25</v>
      </c>
      <c r="AA8" s="0">
        <v>60</v>
      </c>
      <c r="AB8" s="0">
        <v>12</v>
      </c>
      <c r="AC8" s="0">
        <v>50</v>
      </c>
      <c r="AD8" s="0">
        <v>2784</v>
      </c>
      <c r="AE8" s="1">
        <f>=HYPERLINK("10.175.1.14\MWEB.12\NODE\EntityDetails.10.175.1.14.MWEB.12.skmweb2x0an0.2784.xlsx", "&lt;Detail&gt;")</f>
      </c>
      <c r="AF8" s="1">
        <f>=HYPERLINK("10.175.1.14\MWEB.12\NODE\MetricGraphs.NODE.10.175.1.14.MWEB.12.xlsx", "&lt;Metrics&gt;")</f>
      </c>
      <c r="AG8" s="1">
        <f>=HYPERLINK("10.175.1.14\MWEB.12\NODE\FlameGraph.Node.10.175.1.14.MWEB.12.skmweb2x0an0.2784.svg", "&lt;FlGraph&gt;")</f>
      </c>
      <c r="AH8" s="1">
        <f>=HYPERLINK("10.175.1.14\MWEB.12\NODE\FlameChart.Node.10.175.1.14.MWEB.12.skmweb2x0an0.2784.svg", "&lt;FlChart&gt;")</f>
      </c>
      <c r="AI8" s="0" t="s">
        <v>107</v>
      </c>
      <c r="AJ8" s="0" t="s">
        <v>108</v>
      </c>
      <c r="AK8" s="0" t="s">
        <v>150</v>
      </c>
      <c r="AL8" s="0" t="s">
        <v>181</v>
      </c>
      <c r="AM8" s="0" t="s">
        <v>109</v>
      </c>
    </row>
    <row r="9">
      <c r="A9" s="0" t="s">
        <v>28</v>
      </c>
      <c r="B9" s="0" t="s">
        <v>30</v>
      </c>
      <c r="C9" s="0" t="s">
        <v>151</v>
      </c>
      <c r="D9" s="0" t="s">
        <v>182</v>
      </c>
      <c r="E9" s="0" t="s">
        <v>122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>
        <v>0</v>
      </c>
      <c r="O9" s="0">
        <v>0</v>
      </c>
      <c r="P9" s="0">
        <v>0</v>
      </c>
      <c r="Q9" s="0">
        <v>0</v>
      </c>
      <c r="R9" s="0">
        <v>0</v>
      </c>
      <c r="S9" s="0">
        <v>0</v>
      </c>
      <c r="T9" s="0" t="b">
        <v>0</v>
      </c>
      <c r="U9" s="0" t="b">
        <v>0</v>
      </c>
      <c r="V9" s="0" t="b">
        <v>0</v>
      </c>
      <c r="W9" s="2">
        <v>44613.583333333336</v>
      </c>
      <c r="X9" s="2">
        <v>44613.625</v>
      </c>
      <c r="Y9" s="2">
        <v>44613.208333333336</v>
      </c>
      <c r="Z9" s="2">
        <v>44613.25</v>
      </c>
      <c r="AA9" s="0">
        <v>60</v>
      </c>
      <c r="AB9" s="0">
        <v>12</v>
      </c>
      <c r="AC9" s="0">
        <v>52</v>
      </c>
      <c r="AD9" s="0">
        <v>2786</v>
      </c>
      <c r="AE9" s="1">
        <f>=HYPERLINK("10.175.1.14\MWEB.12\NODE\EntityDetails.10.175.1.14.MWEB.12.skmweb2x0an0.2786.xlsx", "&lt;Detail&gt;")</f>
      </c>
      <c r="AF9" s="1">
        <f>=HYPERLINK("10.175.1.14\MWEB.12\NODE\MetricGraphs.NODE.10.175.1.14.MWEB.12.xlsx", "&lt;Metrics&gt;")</f>
      </c>
      <c r="AG9" s="1">
        <f>=HYPERLINK("10.175.1.14\MWEB.12\NODE\FlameGraph.Node.10.175.1.14.MWEB.12.skmweb2x0an0.2786.svg", "&lt;FlGraph&gt;")</f>
      </c>
      <c r="AH9" s="1">
        <f>=HYPERLINK("10.175.1.14\MWEB.12\NODE\FlameChart.Node.10.175.1.14.MWEB.12.skmweb2x0an0.2786.svg", "&lt;FlChart&gt;")</f>
      </c>
      <c r="AI9" s="0" t="s">
        <v>107</v>
      </c>
      <c r="AJ9" s="0" t="s">
        <v>108</v>
      </c>
      <c r="AK9" s="0" t="s">
        <v>152</v>
      </c>
      <c r="AL9" s="0" t="s">
        <v>183</v>
      </c>
      <c r="AM9" s="0" t="s">
        <v>109</v>
      </c>
    </row>
    <row r="10">
      <c r="A10" s="0" t="s">
        <v>28</v>
      </c>
      <c r="B10" s="0" t="s">
        <v>30</v>
      </c>
      <c r="C10" s="0" t="s">
        <v>153</v>
      </c>
      <c r="D10" s="0" t="s">
        <v>184</v>
      </c>
      <c r="E10" s="0" t="s">
        <v>122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>
        <v>0</v>
      </c>
      <c r="O10" s="0">
        <v>0</v>
      </c>
      <c r="P10" s="0">
        <v>0</v>
      </c>
      <c r="Q10" s="0">
        <v>0</v>
      </c>
      <c r="R10" s="0">
        <v>0</v>
      </c>
      <c r="S10" s="0">
        <v>0</v>
      </c>
      <c r="T10" s="0" t="b">
        <v>0</v>
      </c>
      <c r="U10" s="0" t="b">
        <v>0</v>
      </c>
      <c r="V10" s="0" t="b">
        <v>0</v>
      </c>
      <c r="W10" s="2">
        <v>44613.583333333336</v>
      </c>
      <c r="X10" s="2">
        <v>44613.625</v>
      </c>
      <c r="Y10" s="2">
        <v>44613.208333333336</v>
      </c>
      <c r="Z10" s="2">
        <v>44613.25</v>
      </c>
      <c r="AA10" s="0">
        <v>60</v>
      </c>
      <c r="AB10" s="0">
        <v>12</v>
      </c>
      <c r="AC10" s="0">
        <v>51</v>
      </c>
      <c r="AD10" s="0">
        <v>2785</v>
      </c>
      <c r="AE10" s="1">
        <f>=HYPERLINK("10.175.1.14\MWEB.12\NODE\EntityDetails.10.175.1.14.MWEB.12.skmweb2x0an0.2785.xlsx", "&lt;Detail&gt;")</f>
      </c>
      <c r="AF10" s="1">
        <f>=HYPERLINK("10.175.1.14\MWEB.12\NODE\MetricGraphs.NODE.10.175.1.14.MWEB.12.xlsx", "&lt;Metrics&gt;")</f>
      </c>
      <c r="AG10" s="1">
        <f>=HYPERLINK("10.175.1.14\MWEB.12\NODE\FlameGraph.Node.10.175.1.14.MWEB.12.skmweb2x0an0.2785.svg", "&lt;FlGraph&gt;")</f>
      </c>
      <c r="AH10" s="1">
        <f>=HYPERLINK("10.175.1.14\MWEB.12\NODE\FlameChart.Node.10.175.1.14.MWEB.12.skmweb2x0an0.2785.svg", "&lt;FlChart&gt;")</f>
      </c>
      <c r="AI10" s="0" t="s">
        <v>107</v>
      </c>
      <c r="AJ10" s="0" t="s">
        <v>108</v>
      </c>
      <c r="AK10" s="0" t="s">
        <v>154</v>
      </c>
      <c r="AL10" s="0" t="s">
        <v>185</v>
      </c>
      <c r="AM10" s="0" t="s">
        <v>109</v>
      </c>
    </row>
    <row r="11">
      <c r="A11" s="0" t="s">
        <v>28</v>
      </c>
      <c r="B11" s="0" t="s">
        <v>30</v>
      </c>
      <c r="C11" s="0" t="s">
        <v>155</v>
      </c>
      <c r="D11" s="0" t="s">
        <v>186</v>
      </c>
      <c r="E11" s="0" t="s">
        <v>122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>
        <v>0</v>
      </c>
      <c r="O11" s="0">
        <v>0</v>
      </c>
      <c r="P11" s="0">
        <v>0</v>
      </c>
      <c r="Q11" s="0">
        <v>0</v>
      </c>
      <c r="R11" s="0">
        <v>0</v>
      </c>
      <c r="S11" s="0">
        <v>0</v>
      </c>
      <c r="T11" s="0" t="b">
        <v>0</v>
      </c>
      <c r="U11" s="0" t="b">
        <v>0</v>
      </c>
      <c r="V11" s="0" t="b">
        <v>0</v>
      </c>
      <c r="W11" s="2">
        <v>44613.583333333336</v>
      </c>
      <c r="X11" s="2">
        <v>44613.625</v>
      </c>
      <c r="Y11" s="2">
        <v>44613.208333333336</v>
      </c>
      <c r="Z11" s="2">
        <v>44613.25</v>
      </c>
      <c r="AA11" s="0">
        <v>60</v>
      </c>
      <c r="AB11" s="0">
        <v>12</v>
      </c>
      <c r="AC11" s="0">
        <v>54</v>
      </c>
      <c r="AD11" s="0">
        <v>2781</v>
      </c>
      <c r="AE11" s="1">
        <f>=HYPERLINK("10.175.1.14\MWEB.12\NODE\EntityDetails.10.175.1.14.MWEB.12.skmweb2x0at0.2781.xlsx", "&lt;Detail&gt;")</f>
      </c>
      <c r="AF11" s="1">
        <f>=HYPERLINK("10.175.1.14\MWEB.12\NODE\MetricGraphs.NODE.10.175.1.14.MWEB.12.xlsx", "&lt;Metrics&gt;")</f>
      </c>
      <c r="AG11" s="1">
        <f>=HYPERLINK("10.175.1.14\MWEB.12\NODE\FlameGraph.Node.10.175.1.14.MWEB.12.skmweb2x0at0.2781.svg", "&lt;FlGraph&gt;")</f>
      </c>
      <c r="AH11" s="1">
        <f>=HYPERLINK("10.175.1.14\MWEB.12\NODE\FlameChart.Node.10.175.1.14.MWEB.12.skmweb2x0at0.2781.svg", "&lt;FlChart&gt;")</f>
      </c>
      <c r="AI11" s="0" t="s">
        <v>107</v>
      </c>
      <c r="AJ11" s="0" t="s">
        <v>108</v>
      </c>
      <c r="AK11" s="0" t="s">
        <v>156</v>
      </c>
      <c r="AL11" s="0" t="s">
        <v>187</v>
      </c>
      <c r="AM11" s="0" t="s">
        <v>109</v>
      </c>
    </row>
    <row r="12">
      <c r="A12" s="0" t="s">
        <v>28</v>
      </c>
      <c r="B12" s="0" t="s">
        <v>30</v>
      </c>
      <c r="C12" s="0" t="s">
        <v>157</v>
      </c>
      <c r="D12" s="0" t="s">
        <v>188</v>
      </c>
      <c r="E12" s="0" t="s">
        <v>122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>
        <v>0</v>
      </c>
      <c r="O12" s="0">
        <v>0</v>
      </c>
      <c r="P12" s="0">
        <v>0</v>
      </c>
      <c r="Q12" s="0">
        <v>0</v>
      </c>
      <c r="R12" s="0">
        <v>0</v>
      </c>
      <c r="S12" s="0">
        <v>0</v>
      </c>
      <c r="T12" s="0" t="b">
        <v>0</v>
      </c>
      <c r="U12" s="0" t="b">
        <v>0</v>
      </c>
      <c r="V12" s="0" t="b">
        <v>0</v>
      </c>
      <c r="W12" s="2">
        <v>44613.583333333336</v>
      </c>
      <c r="X12" s="2">
        <v>44613.625</v>
      </c>
      <c r="Y12" s="2">
        <v>44613.208333333336</v>
      </c>
      <c r="Z12" s="2">
        <v>44613.25</v>
      </c>
      <c r="AA12" s="0">
        <v>60</v>
      </c>
      <c r="AB12" s="0">
        <v>12</v>
      </c>
      <c r="AC12" s="0">
        <v>53</v>
      </c>
      <c r="AD12" s="0">
        <v>2780</v>
      </c>
      <c r="AE12" s="1">
        <f>=HYPERLINK("10.175.1.14\MWEB.12\NODE\EntityDetails.10.175.1.14.MWEB.12.skmweb2x0at0.2780.xlsx", "&lt;Detail&gt;")</f>
      </c>
      <c r="AF12" s="1">
        <f>=HYPERLINK("10.175.1.14\MWEB.12\NODE\MetricGraphs.NODE.10.175.1.14.MWEB.12.xlsx", "&lt;Metrics&gt;")</f>
      </c>
      <c r="AG12" s="1">
        <f>=HYPERLINK("10.175.1.14\MWEB.12\NODE\FlameGraph.Node.10.175.1.14.MWEB.12.skmweb2x0at0.2780.svg", "&lt;FlGraph&gt;")</f>
      </c>
      <c r="AH12" s="1">
        <f>=HYPERLINK("10.175.1.14\MWEB.12\NODE\FlameChart.Node.10.175.1.14.MWEB.12.skmweb2x0at0.2780.svg", "&lt;FlChart&gt;")</f>
      </c>
      <c r="AI12" s="0" t="s">
        <v>107</v>
      </c>
      <c r="AJ12" s="0" t="s">
        <v>108</v>
      </c>
      <c r="AK12" s="0" t="s">
        <v>158</v>
      </c>
      <c r="AL12" s="0" t="s">
        <v>189</v>
      </c>
      <c r="AM12" s="0" t="s">
        <v>109</v>
      </c>
    </row>
    <row r="13">
      <c r="A13" s="0" t="s">
        <v>28</v>
      </c>
      <c r="B13" s="0" t="s">
        <v>30</v>
      </c>
      <c r="C13" s="0" t="s">
        <v>159</v>
      </c>
      <c r="D13" s="0" t="s">
        <v>190</v>
      </c>
      <c r="E13" s="0" t="s">
        <v>122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>
        <v>0</v>
      </c>
      <c r="O13" s="0">
        <v>0</v>
      </c>
      <c r="P13" s="0">
        <v>0</v>
      </c>
      <c r="Q13" s="0">
        <v>0</v>
      </c>
      <c r="R13" s="0">
        <v>0</v>
      </c>
      <c r="S13" s="0">
        <v>0</v>
      </c>
      <c r="T13" s="0" t="b">
        <v>0</v>
      </c>
      <c r="U13" s="0" t="b">
        <v>0</v>
      </c>
      <c r="V13" s="0" t="b">
        <v>0</v>
      </c>
      <c r="W13" s="2">
        <v>44613.583333333336</v>
      </c>
      <c r="X13" s="2">
        <v>44613.625</v>
      </c>
      <c r="Y13" s="2">
        <v>44613.208333333336</v>
      </c>
      <c r="Z13" s="2">
        <v>44613.25</v>
      </c>
      <c r="AA13" s="0">
        <v>60</v>
      </c>
      <c r="AB13" s="0">
        <v>12</v>
      </c>
      <c r="AC13" s="0">
        <v>56</v>
      </c>
      <c r="AD13" s="0">
        <v>2782</v>
      </c>
      <c r="AE13" s="1">
        <f>=HYPERLINK("10.175.1.14\MWEB.12\NODE\EntityDetails.10.175.1.14.MWEB.12.skmweb2x0at0.2782.xlsx", "&lt;Detail&gt;")</f>
      </c>
      <c r="AF13" s="1">
        <f>=HYPERLINK("10.175.1.14\MWEB.12\NODE\MetricGraphs.NODE.10.175.1.14.MWEB.12.xlsx", "&lt;Metrics&gt;")</f>
      </c>
      <c r="AG13" s="1">
        <f>=HYPERLINK("10.175.1.14\MWEB.12\NODE\FlameGraph.Node.10.175.1.14.MWEB.12.skmweb2x0at0.2782.svg", "&lt;FlGraph&gt;")</f>
      </c>
      <c r="AH13" s="1">
        <f>=HYPERLINK("10.175.1.14\MWEB.12\NODE\FlameChart.Node.10.175.1.14.MWEB.12.skmweb2x0at0.2782.svg", "&lt;FlChart&gt;")</f>
      </c>
      <c r="AI13" s="0" t="s">
        <v>107</v>
      </c>
      <c r="AJ13" s="0" t="s">
        <v>108</v>
      </c>
      <c r="AK13" s="0" t="s">
        <v>160</v>
      </c>
      <c r="AL13" s="0" t="s">
        <v>191</v>
      </c>
      <c r="AM13" s="0" t="s">
        <v>109</v>
      </c>
    </row>
    <row r="14">
      <c r="A14" s="0" t="s">
        <v>28</v>
      </c>
      <c r="B14" s="0" t="s">
        <v>30</v>
      </c>
      <c r="C14" s="0" t="s">
        <v>163</v>
      </c>
      <c r="D14" s="0" t="s">
        <v>192</v>
      </c>
      <c r="E14" s="0" t="s">
        <v>122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>
        <v>0</v>
      </c>
      <c r="O14" s="0">
        <v>0</v>
      </c>
      <c r="P14" s="0">
        <v>0</v>
      </c>
      <c r="Q14" s="0">
        <v>0</v>
      </c>
      <c r="R14" s="0">
        <v>0</v>
      </c>
      <c r="S14" s="0">
        <v>0</v>
      </c>
      <c r="T14" s="0" t="b">
        <v>0</v>
      </c>
      <c r="U14" s="0" t="b">
        <v>0</v>
      </c>
      <c r="V14" s="0" t="b">
        <v>0</v>
      </c>
      <c r="W14" s="2">
        <v>44613.583333333336</v>
      </c>
      <c r="X14" s="2">
        <v>44613.625</v>
      </c>
      <c r="Y14" s="2">
        <v>44613.208333333336</v>
      </c>
      <c r="Z14" s="2">
        <v>44613.25</v>
      </c>
      <c r="AA14" s="0">
        <v>60</v>
      </c>
      <c r="AB14" s="0">
        <v>12</v>
      </c>
      <c r="AC14" s="0">
        <v>55</v>
      </c>
      <c r="AD14" s="0">
        <v>2103</v>
      </c>
      <c r="AE14" s="1">
        <f>=HYPERLINK("10.175.1.14\MWEB.12\NODE\EntityDetails.10.175.1.14.MWEB.12.skmweb2x0fp0.2103.xlsx", "&lt;Detail&gt;")</f>
      </c>
      <c r="AF14" s="1">
        <f>=HYPERLINK("10.175.1.14\MWEB.12\NODE\MetricGraphs.NODE.10.175.1.14.MWEB.12.xlsx", "&lt;Metrics&gt;")</f>
      </c>
      <c r="AG14" s="1">
        <f>=HYPERLINK("10.175.1.14\MWEB.12\NODE\FlameGraph.Node.10.175.1.14.MWEB.12.skmweb2x0fp0.2103.svg", "&lt;FlGraph&gt;")</f>
      </c>
      <c r="AH14" s="1">
        <f>=HYPERLINK("10.175.1.14\MWEB.12\NODE\FlameChart.Node.10.175.1.14.MWEB.12.skmweb2x0fp0.2103.svg", "&lt;FlChart&gt;")</f>
      </c>
      <c r="AI14" s="0" t="s">
        <v>107</v>
      </c>
      <c r="AJ14" s="0" t="s">
        <v>108</v>
      </c>
      <c r="AK14" s="0" t="s">
        <v>164</v>
      </c>
      <c r="AL14" s="0" t="s">
        <v>193</v>
      </c>
      <c r="AM14" s="0" t="s">
        <v>109</v>
      </c>
    </row>
    <row r="15">
      <c r="A15" s="0" t="s">
        <v>28</v>
      </c>
      <c r="B15" s="0" t="s">
        <v>30</v>
      </c>
      <c r="C15" s="0" t="s">
        <v>165</v>
      </c>
      <c r="D15" s="0" t="s">
        <v>194</v>
      </c>
      <c r="E15" s="0" t="s">
        <v>122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>
        <v>0</v>
      </c>
      <c r="O15" s="0">
        <v>0</v>
      </c>
      <c r="P15" s="0">
        <v>0</v>
      </c>
      <c r="Q15" s="0">
        <v>0</v>
      </c>
      <c r="R15" s="0">
        <v>0</v>
      </c>
      <c r="S15" s="0">
        <v>0</v>
      </c>
      <c r="T15" s="0" t="b">
        <v>0</v>
      </c>
      <c r="U15" s="0" t="b">
        <v>0</v>
      </c>
      <c r="V15" s="0" t="b">
        <v>0</v>
      </c>
      <c r="W15" s="2">
        <v>44613.583333333336</v>
      </c>
      <c r="X15" s="2">
        <v>44613.625</v>
      </c>
      <c r="Y15" s="2">
        <v>44613.208333333336</v>
      </c>
      <c r="Z15" s="2">
        <v>44613.25</v>
      </c>
      <c r="AA15" s="0">
        <v>60</v>
      </c>
      <c r="AB15" s="0">
        <v>12</v>
      </c>
      <c r="AC15" s="0">
        <v>47</v>
      </c>
      <c r="AD15" s="0">
        <v>2079</v>
      </c>
      <c r="AE15" s="1">
        <f>=HYPERLINK("10.175.1.14\MWEB.12\NODE\EntityDetails.10.175.1.14.MWEB.12.skmweb2x0od0.2079.xlsx", "&lt;Detail&gt;")</f>
      </c>
      <c r="AF15" s="1">
        <f>=HYPERLINK("10.175.1.14\MWEB.12\NODE\MetricGraphs.NODE.10.175.1.14.MWEB.12.xlsx", "&lt;Metrics&gt;")</f>
      </c>
      <c r="AG15" s="1">
        <f>=HYPERLINK("10.175.1.14\MWEB.12\NODE\FlameGraph.Node.10.175.1.14.MWEB.12.skmweb2x0od0.2079.svg", "&lt;FlGraph&gt;")</f>
      </c>
      <c r="AH15" s="1">
        <f>=HYPERLINK("10.175.1.14\MWEB.12\NODE\FlameChart.Node.10.175.1.14.MWEB.12.skmweb2x0od0.2079.svg", "&lt;FlChart&gt;")</f>
      </c>
      <c r="AI15" s="0" t="s">
        <v>107</v>
      </c>
      <c r="AJ15" s="0" t="s">
        <v>108</v>
      </c>
      <c r="AK15" s="0" t="s">
        <v>166</v>
      </c>
      <c r="AL15" s="0" t="s">
        <v>195</v>
      </c>
      <c r="AM15" s="0" t="s">
        <v>109</v>
      </c>
    </row>
    <row r="16">
      <c r="A16" s="0" t="s">
        <v>28</v>
      </c>
      <c r="B16" s="0" t="s">
        <v>30</v>
      </c>
      <c r="C16" s="0" t="s">
        <v>165</v>
      </c>
      <c r="D16" s="0" t="s">
        <v>196</v>
      </c>
      <c r="E16" s="0" t="s">
        <v>122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>
        <v>0</v>
      </c>
      <c r="O16" s="0">
        <v>0</v>
      </c>
      <c r="P16" s="0">
        <v>0</v>
      </c>
      <c r="Q16" s="0">
        <v>0</v>
      </c>
      <c r="R16" s="0">
        <v>0</v>
      </c>
      <c r="S16" s="0">
        <v>0</v>
      </c>
      <c r="T16" s="0" t="b">
        <v>0</v>
      </c>
      <c r="U16" s="0" t="b">
        <v>0</v>
      </c>
      <c r="V16" s="0" t="b">
        <v>0</v>
      </c>
      <c r="W16" s="2">
        <v>44613.583333333336</v>
      </c>
      <c r="X16" s="2">
        <v>44613.625</v>
      </c>
      <c r="Y16" s="2">
        <v>44613.208333333336</v>
      </c>
      <c r="Z16" s="2">
        <v>44613.25</v>
      </c>
      <c r="AA16" s="0">
        <v>60</v>
      </c>
      <c r="AB16" s="0">
        <v>12</v>
      </c>
      <c r="AC16" s="0">
        <v>47</v>
      </c>
      <c r="AD16" s="0">
        <v>2080</v>
      </c>
      <c r="AE16" s="1">
        <f>=HYPERLINK("10.175.1.14\MWEB.12\NODE\EntityDetails.10.175.1.14.MWEB.12.skmweb2x0od0.2080.xlsx", "&lt;Detail&gt;")</f>
      </c>
      <c r="AF16" s="1">
        <f>=HYPERLINK("10.175.1.14\MWEB.12\NODE\MetricGraphs.NODE.10.175.1.14.MWEB.12.xlsx", "&lt;Metrics&gt;")</f>
      </c>
      <c r="AG16" s="1">
        <f>=HYPERLINK("10.175.1.14\MWEB.12\NODE\FlameGraph.Node.10.175.1.14.MWEB.12.skmweb2x0od0.2080.svg", "&lt;FlGraph&gt;")</f>
      </c>
      <c r="AH16" s="1">
        <f>=HYPERLINK("10.175.1.14\MWEB.12\NODE\FlameChart.Node.10.175.1.14.MWEB.12.skmweb2x0od0.2080.svg", "&lt;FlChart&gt;")</f>
      </c>
      <c r="AI16" s="0" t="s">
        <v>107</v>
      </c>
      <c r="AJ16" s="0" t="s">
        <v>108</v>
      </c>
      <c r="AK16" s="0" t="s">
        <v>166</v>
      </c>
      <c r="AL16" s="0" t="s">
        <v>197</v>
      </c>
      <c r="AM16" s="0" t="s">
        <v>109</v>
      </c>
    </row>
    <row r="17">
      <c r="A17" s="0" t="s">
        <v>28</v>
      </c>
      <c r="B17" s="0" t="s">
        <v>30</v>
      </c>
      <c r="C17" s="0" t="s">
        <v>165</v>
      </c>
      <c r="D17" s="0" t="s">
        <v>198</v>
      </c>
      <c r="E17" s="0" t="s">
        <v>122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>
        <v>0</v>
      </c>
      <c r="O17" s="0">
        <v>0</v>
      </c>
      <c r="P17" s="0">
        <v>0</v>
      </c>
      <c r="Q17" s="0">
        <v>0</v>
      </c>
      <c r="R17" s="0">
        <v>0</v>
      </c>
      <c r="S17" s="0">
        <v>0</v>
      </c>
      <c r="T17" s="0" t="b">
        <v>0</v>
      </c>
      <c r="U17" s="0" t="b">
        <v>0</v>
      </c>
      <c r="V17" s="0" t="b">
        <v>0</v>
      </c>
      <c r="W17" s="2">
        <v>44613.583333333336</v>
      </c>
      <c r="X17" s="2">
        <v>44613.625</v>
      </c>
      <c r="Y17" s="2">
        <v>44613.208333333336</v>
      </c>
      <c r="Z17" s="2">
        <v>44613.25</v>
      </c>
      <c r="AA17" s="0">
        <v>60</v>
      </c>
      <c r="AB17" s="0">
        <v>12</v>
      </c>
      <c r="AC17" s="0">
        <v>47</v>
      </c>
      <c r="AD17" s="0">
        <v>2792</v>
      </c>
      <c r="AE17" s="1">
        <f>=HYPERLINK("10.175.1.14\MWEB.12\NODE\EntityDetails.10.175.1.14.MWEB.12.skmweb2x0od0.2792.xlsx", "&lt;Detail&gt;")</f>
      </c>
      <c r="AF17" s="1">
        <f>=HYPERLINK("10.175.1.14\MWEB.12\NODE\MetricGraphs.NODE.10.175.1.14.MWEB.12.xlsx", "&lt;Metrics&gt;")</f>
      </c>
      <c r="AG17" s="1">
        <f>=HYPERLINK("10.175.1.14\MWEB.12\NODE\FlameGraph.Node.10.175.1.14.MWEB.12.skmweb2x0od0.2792.svg", "&lt;FlGraph&gt;")</f>
      </c>
      <c r="AH17" s="1">
        <f>=HYPERLINK("10.175.1.14\MWEB.12\NODE\FlameChart.Node.10.175.1.14.MWEB.12.skmweb2x0od0.2792.svg", "&lt;FlChart&gt;")</f>
      </c>
      <c r="AI17" s="0" t="s">
        <v>107</v>
      </c>
      <c r="AJ17" s="0" t="s">
        <v>108</v>
      </c>
      <c r="AK17" s="0" t="s">
        <v>166</v>
      </c>
      <c r="AL17" s="0" t="s">
        <v>199</v>
      </c>
      <c r="AM17" s="0" t="s">
        <v>109</v>
      </c>
    </row>
  </sheetData>
  <conditionalFormatting sqref="Q5:Q17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17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17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17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1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=HYPERLINK("#'6.Nodes'!A1", "&lt;Go&gt;")</f>
      </c>
    </row>
  </sheetData>
  <headerFooter/>
</worksheet>
</file>

<file path=xl/worksheets/sheet1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7" topLeftCell="A28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=HYPERLINK("#'6.Nodes'!A1", "&lt;Go&gt;")</f>
      </c>
    </row>
  </sheetData>
  <headerFooter/>
  <drawing r:id="rId2"/>
</worksheet>
</file>

<file path=xl/worksheets/sheet15.xml><?xml version="1.0" encoding="utf-8"?>
<worksheet xmlns:r="http://schemas.openxmlformats.org/officeDocument/2006/relationships" xmlns="http://schemas.openxmlformats.org/spreadsheetml/2006/main">
  <dimension ref="A1:Z10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14" max="14" width="20" customWidth="1"/>
    <col min="15" max="15" width="20" customWidth="1"/>
    <col min="16" max="16" width="20" customWidth="1"/>
    <col min="17" max="17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=HYPERLINK("#'7.Backends.Perf'!A1", "&lt;Go&gt;")</f>
      </c>
    </row>
    <row r="4">
      <c r="A4" s="0" t="s">
        <v>23</v>
      </c>
      <c r="B4" s="0" t="s">
        <v>83</v>
      </c>
      <c r="C4" s="0" t="s">
        <v>200</v>
      </c>
      <c r="D4" s="0" t="s">
        <v>201</v>
      </c>
      <c r="E4" s="0" t="s">
        <v>84</v>
      </c>
      <c r="F4" s="0" t="s">
        <v>85</v>
      </c>
      <c r="G4" s="0" t="s">
        <v>86</v>
      </c>
      <c r="H4" s="0" t="s">
        <v>87</v>
      </c>
      <c r="I4" s="0" t="s">
        <v>88</v>
      </c>
      <c r="J4" s="0" t="s">
        <v>89</v>
      </c>
      <c r="K4" s="0" t="s">
        <v>90</v>
      </c>
      <c r="L4" s="0" t="s">
        <v>95</v>
      </c>
      <c r="M4" s="0" t="s">
        <v>96</v>
      </c>
      <c r="N4" s="0" t="s">
        <v>4</v>
      </c>
      <c r="O4" s="0" t="s">
        <v>5</v>
      </c>
      <c r="P4" s="0" t="s">
        <v>97</v>
      </c>
      <c r="Q4" s="0" t="s">
        <v>98</v>
      </c>
      <c r="R4" s="0" t="s">
        <v>99</v>
      </c>
      <c r="S4" s="0" t="s">
        <v>26</v>
      </c>
      <c r="T4" s="0" t="s">
        <v>202</v>
      </c>
      <c r="U4" s="0" t="s">
        <v>100</v>
      </c>
      <c r="V4" s="0" t="s">
        <v>101</v>
      </c>
      <c r="W4" s="0" t="s">
        <v>78</v>
      </c>
      <c r="X4" s="0" t="s">
        <v>104</v>
      </c>
      <c r="Y4" s="0" t="s">
        <v>203</v>
      </c>
      <c r="Z4" s="0" t="s">
        <v>105</v>
      </c>
    </row>
    <row r="5">
      <c r="A5" s="0" t="s">
        <v>28</v>
      </c>
      <c r="B5" s="0" t="s">
        <v>30</v>
      </c>
      <c r="C5" s="0" t="s">
        <v>204</v>
      </c>
      <c r="D5" s="0" t="s">
        <v>205</v>
      </c>
      <c r="E5" s="0">
        <v>0</v>
      </c>
      <c r="F5" s="0" t="s">
        <v>106</v>
      </c>
      <c r="G5" s="0">
        <v>0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 t="b">
        <v>0</v>
      </c>
      <c r="N5" s="2">
        <v>44613.583333333336</v>
      </c>
      <c r="O5" s="2">
        <v>44613.625</v>
      </c>
      <c r="P5" s="2">
        <v>44613.208333333336</v>
      </c>
      <c r="Q5" s="2">
        <v>44613.25</v>
      </c>
      <c r="R5" s="0">
        <v>60</v>
      </c>
      <c r="S5" s="0">
        <v>12</v>
      </c>
      <c r="T5" s="0">
        <v>9</v>
      </c>
      <c r="U5" s="1">
        <f>=HYPERLINK("10.175.1.14\MWEB.12\BACK\EntityDetails.10.175.1.14.MWEB.12.Oracle Weblo.9.xlsx", "&lt;Detail&gt;")</f>
      </c>
      <c r="V5" s="1">
        <f>=HYPERLINK("10.175.1.14\MWEB.12\BACK\MetricGraphs.BACK.10.175.1.14.MWEB.12.xlsx", "&lt;Metrics&gt;")</f>
      </c>
      <c r="W5" s="0" t="s">
        <v>107</v>
      </c>
      <c r="X5" s="0" t="s">
        <v>108</v>
      </c>
      <c r="Y5" s="0" t="s">
        <v>206</v>
      </c>
      <c r="Z5" s="0" t="s">
        <v>109</v>
      </c>
    </row>
    <row r="6">
      <c r="A6" s="0" t="s">
        <v>28</v>
      </c>
      <c r="B6" s="0" t="s">
        <v>30</v>
      </c>
      <c r="C6" s="0" t="s">
        <v>207</v>
      </c>
      <c r="D6" s="0" t="s">
        <v>205</v>
      </c>
      <c r="E6" s="0">
        <v>0</v>
      </c>
      <c r="F6" s="0" t="s">
        <v>106</v>
      </c>
      <c r="G6" s="0">
        <v>0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 t="b">
        <v>0</v>
      </c>
      <c r="N6" s="2">
        <v>44613.583333333336</v>
      </c>
      <c r="O6" s="2">
        <v>44613.625</v>
      </c>
      <c r="P6" s="2">
        <v>44613.208333333336</v>
      </c>
      <c r="Q6" s="2">
        <v>44613.25</v>
      </c>
      <c r="R6" s="0">
        <v>60</v>
      </c>
      <c r="S6" s="0">
        <v>12</v>
      </c>
      <c r="T6" s="0">
        <v>7</v>
      </c>
      <c r="U6" s="1">
        <f>=HYPERLINK("10.175.1.14\MWEB.12\BACK\EntityDetails.10.175.1.14.MWEB.12.Oracle Weblo.7.xlsx", "&lt;Detail&gt;")</f>
      </c>
      <c r="V6" s="1">
        <f>=HYPERLINK("10.175.1.14\MWEB.12\BACK\MetricGraphs.BACK.10.175.1.14.MWEB.12.xlsx", "&lt;Metrics&gt;")</f>
      </c>
      <c r="W6" s="0" t="s">
        <v>107</v>
      </c>
      <c r="X6" s="0" t="s">
        <v>108</v>
      </c>
      <c r="Y6" s="0" t="s">
        <v>208</v>
      </c>
      <c r="Z6" s="0" t="s">
        <v>109</v>
      </c>
    </row>
    <row r="7">
      <c r="A7" s="0" t="s">
        <v>28</v>
      </c>
      <c r="B7" s="0" t="s">
        <v>30</v>
      </c>
      <c r="C7" s="0" t="s">
        <v>209</v>
      </c>
      <c r="D7" s="0" t="s">
        <v>205</v>
      </c>
      <c r="E7" s="0">
        <v>0</v>
      </c>
      <c r="F7" s="0" t="s">
        <v>106</v>
      </c>
      <c r="G7" s="0">
        <v>0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 t="b">
        <v>0</v>
      </c>
      <c r="N7" s="2">
        <v>44613.583333333336</v>
      </c>
      <c r="O7" s="2">
        <v>44613.625</v>
      </c>
      <c r="P7" s="2">
        <v>44613.208333333336</v>
      </c>
      <c r="Q7" s="2">
        <v>44613.25</v>
      </c>
      <c r="R7" s="0">
        <v>60</v>
      </c>
      <c r="S7" s="0">
        <v>12</v>
      </c>
      <c r="T7" s="0">
        <v>410</v>
      </c>
      <c r="U7" s="1">
        <f>=HYPERLINK("10.175.1.14\MWEB.12\BACK\EntityDetails.10.175.1.14.MWEB.12.Websphere MQ.410.xlsx", "&lt;Detail&gt;")</f>
      </c>
      <c r="V7" s="1">
        <f>=HYPERLINK("10.175.1.14\MWEB.12\BACK\MetricGraphs.BACK.10.175.1.14.MWEB.12.xlsx", "&lt;Metrics&gt;")</f>
      </c>
      <c r="W7" s="0" t="s">
        <v>107</v>
      </c>
      <c r="X7" s="0" t="s">
        <v>108</v>
      </c>
      <c r="Y7" s="0" t="s">
        <v>210</v>
      </c>
      <c r="Z7" s="0" t="s">
        <v>109</v>
      </c>
    </row>
    <row r="8">
      <c r="A8" s="0" t="s">
        <v>28</v>
      </c>
      <c r="B8" s="0" t="s">
        <v>30</v>
      </c>
      <c r="C8" s="0" t="s">
        <v>211</v>
      </c>
      <c r="D8" s="0" t="s">
        <v>205</v>
      </c>
      <c r="E8" s="0">
        <v>0</v>
      </c>
      <c r="F8" s="0" t="s">
        <v>106</v>
      </c>
      <c r="G8" s="0">
        <v>0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 t="b">
        <v>0</v>
      </c>
      <c r="N8" s="2">
        <v>44613.583333333336</v>
      </c>
      <c r="O8" s="2">
        <v>44613.625</v>
      </c>
      <c r="P8" s="2">
        <v>44613.208333333336</v>
      </c>
      <c r="Q8" s="2">
        <v>44613.25</v>
      </c>
      <c r="R8" s="0">
        <v>60</v>
      </c>
      <c r="S8" s="0">
        <v>12</v>
      </c>
      <c r="T8" s="0">
        <v>553</v>
      </c>
      <c r="U8" s="1">
        <f>=HYPERLINK("10.175.1.14\MWEB.12\BACK\EntityDetails.10.175.1.14.MWEB.12.Websphere MQ.553.xlsx", "&lt;Detail&gt;")</f>
      </c>
      <c r="V8" s="1">
        <f>=HYPERLINK("10.175.1.14\MWEB.12\BACK\MetricGraphs.BACK.10.175.1.14.MWEB.12.xlsx", "&lt;Metrics&gt;")</f>
      </c>
      <c r="W8" s="0" t="s">
        <v>107</v>
      </c>
      <c r="X8" s="0" t="s">
        <v>108</v>
      </c>
      <c r="Y8" s="0" t="s">
        <v>212</v>
      </c>
      <c r="Z8" s="0" t="s">
        <v>109</v>
      </c>
    </row>
    <row r="9">
      <c r="A9" s="0" t="s">
        <v>28</v>
      </c>
      <c r="B9" s="0" t="s">
        <v>30</v>
      </c>
      <c r="C9" s="0" t="s">
        <v>213</v>
      </c>
      <c r="D9" s="0" t="s">
        <v>205</v>
      </c>
      <c r="E9" s="0">
        <v>0</v>
      </c>
      <c r="F9" s="0" t="s">
        <v>106</v>
      </c>
      <c r="G9" s="0">
        <v>0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 t="b">
        <v>0</v>
      </c>
      <c r="N9" s="2">
        <v>44613.583333333336</v>
      </c>
      <c r="O9" s="2">
        <v>44613.625</v>
      </c>
      <c r="P9" s="2">
        <v>44613.208333333336</v>
      </c>
      <c r="Q9" s="2">
        <v>44613.25</v>
      </c>
      <c r="R9" s="0">
        <v>60</v>
      </c>
      <c r="S9" s="0">
        <v>12</v>
      </c>
      <c r="T9" s="0">
        <v>36</v>
      </c>
      <c r="U9" s="1">
        <f>=HYPERLINK("10.175.1.14\MWEB.12\BACK\EntityDetails.10.175.1.14.MWEB.12.Websphere MQ.36.xlsx", "&lt;Detail&gt;")</f>
      </c>
      <c r="V9" s="1">
        <f>=HYPERLINK("10.175.1.14\MWEB.12\BACK\MetricGraphs.BACK.10.175.1.14.MWEB.12.xlsx", "&lt;Metrics&gt;")</f>
      </c>
      <c r="W9" s="0" t="s">
        <v>107</v>
      </c>
      <c r="X9" s="0" t="s">
        <v>108</v>
      </c>
      <c r="Y9" s="0" t="s">
        <v>214</v>
      </c>
      <c r="Z9" s="0" t="s">
        <v>109</v>
      </c>
    </row>
    <row r="10">
      <c r="A10" s="0" t="s">
        <v>28</v>
      </c>
      <c r="B10" s="0" t="s">
        <v>30</v>
      </c>
      <c r="C10" s="0" t="s">
        <v>215</v>
      </c>
      <c r="D10" s="0" t="s">
        <v>216</v>
      </c>
      <c r="E10" s="0">
        <v>0</v>
      </c>
      <c r="F10" s="0" t="s">
        <v>106</v>
      </c>
      <c r="G10" s="0">
        <v>0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 t="b">
        <v>0</v>
      </c>
      <c r="N10" s="2">
        <v>44613.583333333336</v>
      </c>
      <c r="O10" s="2">
        <v>44613.625</v>
      </c>
      <c r="P10" s="2">
        <v>44613.208333333336</v>
      </c>
      <c r="Q10" s="2">
        <v>44613.25</v>
      </c>
      <c r="R10" s="0">
        <v>60</v>
      </c>
      <c r="S10" s="0">
        <v>12</v>
      </c>
      <c r="T10" s="0">
        <v>397</v>
      </c>
      <c r="U10" s="1">
        <f>=HYPERLINK("10.175.1.14\MWEB.12\BACK\EntityDetails.10.175.1.14.MWEB.12.WLCFGWDB-MyS.397.xlsx", "&lt;Detail&gt;")</f>
      </c>
      <c r="V10" s="1">
        <f>=HYPERLINK("10.175.1.14\MWEB.12\BACK\MetricGraphs.BACK.10.175.1.14.MWEB.12.xlsx", "&lt;Metrics&gt;")</f>
      </c>
      <c r="W10" s="0" t="s">
        <v>107</v>
      </c>
      <c r="X10" s="0" t="s">
        <v>108</v>
      </c>
      <c r="Y10" s="0" t="s">
        <v>217</v>
      </c>
      <c r="Z10" s="0" t="s">
        <v>109</v>
      </c>
    </row>
  </sheetData>
  <conditionalFormatting sqref="L5:L10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E5:E10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I5:I10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K5:K10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16.xml><?xml version="1.0" encoding="utf-8"?>
<worksheet xmlns:r="http://schemas.openxmlformats.org/officeDocument/2006/relationships" xmlns="http://schemas.openxmlformats.org/spreadsheetml/2006/main">
  <dimension ref="A1:Z10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14" max="14" width="20" customWidth="1"/>
    <col min="15" max="15" width="20" customWidth="1"/>
    <col min="16" max="16" width="20" customWidth="1"/>
    <col min="17" max="17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=HYPERLINK("#'7.Backends.Perf'!A1", "&lt;Go&gt;")</f>
      </c>
    </row>
    <row r="4">
      <c r="A4" s="0" t="s">
        <v>23</v>
      </c>
      <c r="B4" s="0" t="s">
        <v>83</v>
      </c>
      <c r="C4" s="0" t="s">
        <v>200</v>
      </c>
      <c r="D4" s="0" t="s">
        <v>201</v>
      </c>
      <c r="E4" s="0" t="s">
        <v>84</v>
      </c>
      <c r="F4" s="0" t="s">
        <v>85</v>
      </c>
      <c r="G4" s="0" t="s">
        <v>86</v>
      </c>
      <c r="H4" s="0" t="s">
        <v>87</v>
      </c>
      <c r="I4" s="0" t="s">
        <v>88</v>
      </c>
      <c r="J4" s="0" t="s">
        <v>89</v>
      </c>
      <c r="K4" s="0" t="s">
        <v>90</v>
      </c>
      <c r="L4" s="0" t="s">
        <v>95</v>
      </c>
      <c r="M4" s="0" t="s">
        <v>96</v>
      </c>
      <c r="N4" s="0" t="s">
        <v>4</v>
      </c>
      <c r="O4" s="0" t="s">
        <v>5</v>
      </c>
      <c r="P4" s="0" t="s">
        <v>97</v>
      </c>
      <c r="Q4" s="0" t="s">
        <v>98</v>
      </c>
      <c r="R4" s="0" t="s">
        <v>99</v>
      </c>
      <c r="S4" s="0" t="s">
        <v>26</v>
      </c>
      <c r="T4" s="0" t="s">
        <v>202</v>
      </c>
      <c r="U4" s="0" t="s">
        <v>100</v>
      </c>
      <c r="V4" s="0" t="s">
        <v>101</v>
      </c>
      <c r="W4" s="0" t="s">
        <v>78</v>
      </c>
      <c r="X4" s="0" t="s">
        <v>104</v>
      </c>
      <c r="Y4" s="0" t="s">
        <v>203</v>
      </c>
      <c r="Z4" s="0" t="s">
        <v>105</v>
      </c>
    </row>
    <row r="5">
      <c r="A5" s="0" t="s">
        <v>28</v>
      </c>
      <c r="B5" s="0" t="s">
        <v>30</v>
      </c>
      <c r="C5" s="0" t="s">
        <v>204</v>
      </c>
      <c r="D5" s="0" t="s">
        <v>205</v>
      </c>
      <c r="E5" s="0">
        <v>0</v>
      </c>
      <c r="F5" s="0" t="s">
        <v>106</v>
      </c>
      <c r="G5" s="0">
        <v>0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 t="b">
        <v>0</v>
      </c>
      <c r="N5" s="2">
        <v>44613.583333333336</v>
      </c>
      <c r="O5" s="2">
        <v>44613.625</v>
      </c>
      <c r="P5" s="2">
        <v>44613.208333333336</v>
      </c>
      <c r="Q5" s="2">
        <v>44613.25</v>
      </c>
      <c r="R5" s="0">
        <v>60</v>
      </c>
      <c r="S5" s="0">
        <v>12</v>
      </c>
      <c r="T5" s="0">
        <v>9</v>
      </c>
      <c r="U5" s="1">
        <f>=HYPERLINK("10.175.1.14\MWEB.12\BACK\EntityDetails.10.175.1.14.MWEB.12.Oracle Weblo.9.xlsx", "&lt;Detail&gt;")</f>
      </c>
      <c r="V5" s="1">
        <f>=HYPERLINK("10.175.1.14\MWEB.12\BACK\MetricGraphs.BACK.10.175.1.14.MWEB.12.xlsx", "&lt;Metrics&gt;")</f>
      </c>
      <c r="W5" s="0" t="s">
        <v>107</v>
      </c>
      <c r="X5" s="0" t="s">
        <v>108</v>
      </c>
      <c r="Y5" s="0" t="s">
        <v>206</v>
      </c>
      <c r="Z5" s="0" t="s">
        <v>109</v>
      </c>
    </row>
    <row r="6">
      <c r="A6" s="0" t="s">
        <v>28</v>
      </c>
      <c r="B6" s="0" t="s">
        <v>30</v>
      </c>
      <c r="C6" s="0" t="s">
        <v>207</v>
      </c>
      <c r="D6" s="0" t="s">
        <v>205</v>
      </c>
      <c r="E6" s="0">
        <v>0</v>
      </c>
      <c r="F6" s="0" t="s">
        <v>106</v>
      </c>
      <c r="G6" s="0">
        <v>0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 t="b">
        <v>0</v>
      </c>
      <c r="N6" s="2">
        <v>44613.583333333336</v>
      </c>
      <c r="O6" s="2">
        <v>44613.625</v>
      </c>
      <c r="P6" s="2">
        <v>44613.208333333336</v>
      </c>
      <c r="Q6" s="2">
        <v>44613.25</v>
      </c>
      <c r="R6" s="0">
        <v>60</v>
      </c>
      <c r="S6" s="0">
        <v>12</v>
      </c>
      <c r="T6" s="0">
        <v>7</v>
      </c>
      <c r="U6" s="1">
        <f>=HYPERLINK("10.175.1.14\MWEB.12\BACK\EntityDetails.10.175.1.14.MWEB.12.Oracle Weblo.7.xlsx", "&lt;Detail&gt;")</f>
      </c>
      <c r="V6" s="1">
        <f>=HYPERLINK("10.175.1.14\MWEB.12\BACK\MetricGraphs.BACK.10.175.1.14.MWEB.12.xlsx", "&lt;Metrics&gt;")</f>
      </c>
      <c r="W6" s="0" t="s">
        <v>107</v>
      </c>
      <c r="X6" s="0" t="s">
        <v>108</v>
      </c>
      <c r="Y6" s="0" t="s">
        <v>208</v>
      </c>
      <c r="Z6" s="0" t="s">
        <v>109</v>
      </c>
    </row>
    <row r="7">
      <c r="A7" s="0" t="s">
        <v>28</v>
      </c>
      <c r="B7" s="0" t="s">
        <v>30</v>
      </c>
      <c r="C7" s="0" t="s">
        <v>209</v>
      </c>
      <c r="D7" s="0" t="s">
        <v>205</v>
      </c>
      <c r="E7" s="0">
        <v>0</v>
      </c>
      <c r="F7" s="0" t="s">
        <v>106</v>
      </c>
      <c r="G7" s="0">
        <v>0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 t="b">
        <v>0</v>
      </c>
      <c r="N7" s="2">
        <v>44613.583333333336</v>
      </c>
      <c r="O7" s="2">
        <v>44613.625</v>
      </c>
      <c r="P7" s="2">
        <v>44613.208333333336</v>
      </c>
      <c r="Q7" s="2">
        <v>44613.25</v>
      </c>
      <c r="R7" s="0">
        <v>60</v>
      </c>
      <c r="S7" s="0">
        <v>12</v>
      </c>
      <c r="T7" s="0">
        <v>410</v>
      </c>
      <c r="U7" s="1">
        <f>=HYPERLINK("10.175.1.14\MWEB.12\BACK\EntityDetails.10.175.1.14.MWEB.12.Websphere MQ.410.xlsx", "&lt;Detail&gt;")</f>
      </c>
      <c r="V7" s="1">
        <f>=HYPERLINK("10.175.1.14\MWEB.12\BACK\MetricGraphs.BACK.10.175.1.14.MWEB.12.xlsx", "&lt;Metrics&gt;")</f>
      </c>
      <c r="W7" s="0" t="s">
        <v>107</v>
      </c>
      <c r="X7" s="0" t="s">
        <v>108</v>
      </c>
      <c r="Y7" s="0" t="s">
        <v>210</v>
      </c>
      <c r="Z7" s="0" t="s">
        <v>109</v>
      </c>
    </row>
    <row r="8">
      <c r="A8" s="0" t="s">
        <v>28</v>
      </c>
      <c r="B8" s="0" t="s">
        <v>30</v>
      </c>
      <c r="C8" s="0" t="s">
        <v>211</v>
      </c>
      <c r="D8" s="0" t="s">
        <v>205</v>
      </c>
      <c r="E8" s="0">
        <v>0</v>
      </c>
      <c r="F8" s="0" t="s">
        <v>106</v>
      </c>
      <c r="G8" s="0">
        <v>0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 t="b">
        <v>0</v>
      </c>
      <c r="N8" s="2">
        <v>44613.583333333336</v>
      </c>
      <c r="O8" s="2">
        <v>44613.625</v>
      </c>
      <c r="P8" s="2">
        <v>44613.208333333336</v>
      </c>
      <c r="Q8" s="2">
        <v>44613.25</v>
      </c>
      <c r="R8" s="0">
        <v>60</v>
      </c>
      <c r="S8" s="0">
        <v>12</v>
      </c>
      <c r="T8" s="0">
        <v>553</v>
      </c>
      <c r="U8" s="1">
        <f>=HYPERLINK("10.175.1.14\MWEB.12\BACK\EntityDetails.10.175.1.14.MWEB.12.Websphere MQ.553.xlsx", "&lt;Detail&gt;")</f>
      </c>
      <c r="V8" s="1">
        <f>=HYPERLINK("10.175.1.14\MWEB.12\BACK\MetricGraphs.BACK.10.175.1.14.MWEB.12.xlsx", "&lt;Metrics&gt;")</f>
      </c>
      <c r="W8" s="0" t="s">
        <v>107</v>
      </c>
      <c r="X8" s="0" t="s">
        <v>108</v>
      </c>
      <c r="Y8" s="0" t="s">
        <v>212</v>
      </c>
      <c r="Z8" s="0" t="s">
        <v>109</v>
      </c>
    </row>
    <row r="9">
      <c r="A9" s="0" t="s">
        <v>28</v>
      </c>
      <c r="B9" s="0" t="s">
        <v>30</v>
      </c>
      <c r="C9" s="0" t="s">
        <v>213</v>
      </c>
      <c r="D9" s="0" t="s">
        <v>205</v>
      </c>
      <c r="E9" s="0">
        <v>0</v>
      </c>
      <c r="F9" s="0" t="s">
        <v>106</v>
      </c>
      <c r="G9" s="0">
        <v>0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 t="b">
        <v>0</v>
      </c>
      <c r="N9" s="2">
        <v>44613.583333333336</v>
      </c>
      <c r="O9" s="2">
        <v>44613.625</v>
      </c>
      <c r="P9" s="2">
        <v>44613.208333333336</v>
      </c>
      <c r="Q9" s="2">
        <v>44613.25</v>
      </c>
      <c r="R9" s="0">
        <v>60</v>
      </c>
      <c r="S9" s="0">
        <v>12</v>
      </c>
      <c r="T9" s="0">
        <v>36</v>
      </c>
      <c r="U9" s="1">
        <f>=HYPERLINK("10.175.1.14\MWEB.12\BACK\EntityDetails.10.175.1.14.MWEB.12.Websphere MQ.36.xlsx", "&lt;Detail&gt;")</f>
      </c>
      <c r="V9" s="1">
        <f>=HYPERLINK("10.175.1.14\MWEB.12\BACK\MetricGraphs.BACK.10.175.1.14.MWEB.12.xlsx", "&lt;Metrics&gt;")</f>
      </c>
      <c r="W9" s="0" t="s">
        <v>107</v>
      </c>
      <c r="X9" s="0" t="s">
        <v>108</v>
      </c>
      <c r="Y9" s="0" t="s">
        <v>214</v>
      </c>
      <c r="Z9" s="0" t="s">
        <v>109</v>
      </c>
    </row>
    <row r="10">
      <c r="A10" s="0" t="s">
        <v>28</v>
      </c>
      <c r="B10" s="0" t="s">
        <v>30</v>
      </c>
      <c r="C10" s="0" t="s">
        <v>215</v>
      </c>
      <c r="D10" s="0" t="s">
        <v>216</v>
      </c>
      <c r="E10" s="0">
        <v>0</v>
      </c>
      <c r="F10" s="0" t="s">
        <v>106</v>
      </c>
      <c r="G10" s="0">
        <v>0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 t="b">
        <v>0</v>
      </c>
      <c r="N10" s="2">
        <v>44613.583333333336</v>
      </c>
      <c r="O10" s="2">
        <v>44613.625</v>
      </c>
      <c r="P10" s="2">
        <v>44613.208333333336</v>
      </c>
      <c r="Q10" s="2">
        <v>44613.25</v>
      </c>
      <c r="R10" s="0">
        <v>60</v>
      </c>
      <c r="S10" s="0">
        <v>12</v>
      </c>
      <c r="T10" s="0">
        <v>397</v>
      </c>
      <c r="U10" s="1">
        <f>=HYPERLINK("10.175.1.14\MWEB.12\BACK\EntityDetails.10.175.1.14.MWEB.12.WLCFGWDB-MyS.397.xlsx", "&lt;Detail&gt;")</f>
      </c>
      <c r="V10" s="1">
        <f>=HYPERLINK("10.175.1.14\MWEB.12\BACK\MetricGraphs.BACK.10.175.1.14.MWEB.12.xlsx", "&lt;Metrics&gt;")</f>
      </c>
      <c r="W10" s="0" t="s">
        <v>107</v>
      </c>
      <c r="X10" s="0" t="s">
        <v>108</v>
      </c>
      <c r="Y10" s="0" t="s">
        <v>217</v>
      </c>
      <c r="Z10" s="0" t="s">
        <v>109</v>
      </c>
    </row>
  </sheetData>
  <conditionalFormatting sqref="L5:L10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E5:E10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I5:I10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K5:K10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1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=HYPERLINK("#'7.Backends'!A1", "&lt;Go&gt;")</f>
      </c>
    </row>
  </sheetData>
  <headerFooter/>
</worksheet>
</file>

<file path=xl/worksheets/sheet18.xml><?xml version="1.0" encoding="utf-8"?>
<worksheet xmlns:r="http://schemas.openxmlformats.org/officeDocument/2006/relationships" xmlns="http://schemas.openxmlformats.org/spreadsheetml/2006/main">
  <dimension ref="A1:AE22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15" max="15" width="20" customWidth="1"/>
    <col min="16" max="16" width="20" customWidth="1"/>
    <col min="17" max="17" width="20" customWidth="1"/>
    <col min="18" max="18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=HYPERLINK("#'8.BTs.Perf'!A1",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218</v>
      </c>
      <c r="E4" s="0" t="s">
        <v>219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95</v>
      </c>
      <c r="N4" s="0" t="s">
        <v>96</v>
      </c>
      <c r="O4" s="0" t="s">
        <v>4</v>
      </c>
      <c r="P4" s="0" t="s">
        <v>5</v>
      </c>
      <c r="Q4" s="0" t="s">
        <v>97</v>
      </c>
      <c r="R4" s="0" t="s">
        <v>98</v>
      </c>
      <c r="S4" s="0" t="s">
        <v>99</v>
      </c>
      <c r="T4" s="0" t="s">
        <v>26</v>
      </c>
      <c r="U4" s="0" t="s">
        <v>118</v>
      </c>
      <c r="V4" s="0" t="s">
        <v>220</v>
      </c>
      <c r="W4" s="0" t="s">
        <v>100</v>
      </c>
      <c r="X4" s="0" t="s">
        <v>101</v>
      </c>
      <c r="Y4" s="0" t="s">
        <v>102</v>
      </c>
      <c r="Z4" s="0" t="s">
        <v>103</v>
      </c>
      <c r="AA4" s="0" t="s">
        <v>78</v>
      </c>
      <c r="AB4" s="0" t="s">
        <v>104</v>
      </c>
      <c r="AC4" s="0" t="s">
        <v>119</v>
      </c>
      <c r="AD4" s="0" t="s">
        <v>221</v>
      </c>
      <c r="AE4" s="0" t="s">
        <v>105</v>
      </c>
    </row>
    <row r="5">
      <c r="A5" s="0" t="s">
        <v>28</v>
      </c>
      <c r="B5" s="0" t="s">
        <v>30</v>
      </c>
      <c r="C5" s="0" t="s">
        <v>161</v>
      </c>
      <c r="D5" s="0" t="s">
        <v>222</v>
      </c>
      <c r="E5" s="0" t="s">
        <v>223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 t="b">
        <v>0</v>
      </c>
      <c r="O5" s="2">
        <v>44613.583333333336</v>
      </c>
      <c r="P5" s="2">
        <v>44613.625</v>
      </c>
      <c r="Q5" s="2">
        <v>44613.208333333336</v>
      </c>
      <c r="R5" s="2">
        <v>44613.25</v>
      </c>
      <c r="S5" s="0">
        <v>60</v>
      </c>
      <c r="T5" s="0">
        <v>12</v>
      </c>
      <c r="U5" s="0">
        <v>48</v>
      </c>
      <c r="V5" s="0">
        <v>926</v>
      </c>
      <c r="W5" s="1">
        <f>=HYPERLINK("10.175.1.14\MWEB.12\BT\EntityDetails.10.175.1.14.MWEB.12.-.926.xlsx", "&lt;Detail&gt;")</f>
      </c>
      <c r="X5" s="1">
        <f>=HYPERLINK("10.175.1.14\MWEB.12\BT\MetricGraphs.BT.10.175.1.14.MWEB.12.xlsx", "&lt;Metrics&gt;")</f>
      </c>
      <c r="Y5" s="1">
        <f>=HYPERLINK("10.175.1.14\MWEB.12\BT\FlameGraph.BT.10.175.1.14.MWEB.12.-.926.svg", "&lt;FlGraph&gt;")</f>
      </c>
      <c r="Z5" s="1">
        <f>=HYPERLINK("10.175.1.14\MWEB.12\BT\FlameChart.BT.10.175.1.14.MWEB.12.-.926.svg", "&lt;FlChart&gt;")</f>
      </c>
      <c r="AA5" s="0" t="s">
        <v>107</v>
      </c>
      <c r="AB5" s="0" t="s">
        <v>108</v>
      </c>
      <c r="AC5" s="0" t="s">
        <v>162</v>
      </c>
      <c r="AD5" s="0" t="s">
        <v>224</v>
      </c>
      <c r="AE5" s="0" t="s">
        <v>109</v>
      </c>
    </row>
    <row r="6">
      <c r="A6" s="0" t="s">
        <v>28</v>
      </c>
      <c r="B6" s="0" t="s">
        <v>30</v>
      </c>
      <c r="C6" s="0" t="s">
        <v>149</v>
      </c>
      <c r="D6" s="0" t="s">
        <v>225</v>
      </c>
      <c r="E6" s="0" t="s">
        <v>226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 t="b">
        <v>0</v>
      </c>
      <c r="O6" s="2">
        <v>44613.583333333336</v>
      </c>
      <c r="P6" s="2">
        <v>44613.625</v>
      </c>
      <c r="Q6" s="2">
        <v>44613.208333333336</v>
      </c>
      <c r="R6" s="2">
        <v>44613.25</v>
      </c>
      <c r="S6" s="0">
        <v>60</v>
      </c>
      <c r="T6" s="0">
        <v>12</v>
      </c>
      <c r="U6" s="0">
        <v>50</v>
      </c>
      <c r="V6" s="0">
        <v>778</v>
      </c>
      <c r="W6" s="1">
        <f>=HYPERLINK("10.175.1.14\MWEB.12\BT\EntityDetails.10.175.1.14.MWEB.12.-.POST.778.xlsx", "&lt;Detail&gt;")</f>
      </c>
      <c r="X6" s="1">
        <f>=HYPERLINK("10.175.1.14\MWEB.12\BT\MetricGraphs.BT.10.175.1.14.MWEB.12.xlsx", "&lt;Metrics&gt;")</f>
      </c>
      <c r="Y6" s="1">
        <f>=HYPERLINK("10.175.1.14\MWEB.12\BT\FlameGraph.BT.10.175.1.14.MWEB.12.-.POST.778.svg", "&lt;FlGraph&gt;")</f>
      </c>
      <c r="Z6" s="1">
        <f>=HYPERLINK("10.175.1.14\MWEB.12\BT\FlameChart.BT.10.175.1.14.MWEB.12.-.POST.778.svg", "&lt;FlChart&gt;")</f>
      </c>
      <c r="AA6" s="0" t="s">
        <v>107</v>
      </c>
      <c r="AB6" s="0" t="s">
        <v>108</v>
      </c>
      <c r="AC6" s="0" t="s">
        <v>150</v>
      </c>
      <c r="AD6" s="0" t="s">
        <v>227</v>
      </c>
      <c r="AE6" s="0" t="s">
        <v>109</v>
      </c>
    </row>
    <row r="7">
      <c r="A7" s="0" t="s">
        <v>28</v>
      </c>
      <c r="B7" s="0" t="s">
        <v>30</v>
      </c>
      <c r="C7" s="0" t="s">
        <v>125</v>
      </c>
      <c r="D7" s="0" t="s">
        <v>228</v>
      </c>
      <c r="E7" s="0" t="s">
        <v>229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 t="b">
        <v>0</v>
      </c>
      <c r="O7" s="2">
        <v>44613.583333333336</v>
      </c>
      <c r="P7" s="2">
        <v>44613.625</v>
      </c>
      <c r="Q7" s="2">
        <v>44613.208333333336</v>
      </c>
      <c r="R7" s="2">
        <v>44613.25</v>
      </c>
      <c r="S7" s="0">
        <v>60</v>
      </c>
      <c r="T7" s="0">
        <v>12</v>
      </c>
      <c r="U7" s="0">
        <v>42</v>
      </c>
      <c r="V7" s="0">
        <v>438</v>
      </c>
      <c r="W7" s="1">
        <f>=HYPERLINK("10.175.1.14\MWEB.12\BT\EntityDetails.10.175.1.14.MWEB.12.-admin-login.438.xlsx", "&lt;Detail&gt;")</f>
      </c>
      <c r="X7" s="1">
        <f>=HYPERLINK("10.175.1.14\MWEB.12\BT\MetricGraphs.BT.10.175.1.14.MWEB.12.xlsx", "&lt;Metrics&gt;")</f>
      </c>
      <c r="Y7" s="1">
        <f>=HYPERLINK("10.175.1.14\MWEB.12\BT\FlameGraph.BT.10.175.1.14.MWEB.12.-admin-login.438.svg", "&lt;FlGraph&gt;")</f>
      </c>
      <c r="Z7" s="1">
        <f>=HYPERLINK("10.175.1.14\MWEB.12\BT\FlameChart.BT.10.175.1.14.MWEB.12.-admin-login.438.svg", "&lt;FlChart&gt;")</f>
      </c>
      <c r="AA7" s="0" t="s">
        <v>107</v>
      </c>
      <c r="AB7" s="0" t="s">
        <v>108</v>
      </c>
      <c r="AC7" s="0" t="s">
        <v>126</v>
      </c>
      <c r="AD7" s="0" t="s">
        <v>230</v>
      </c>
      <c r="AE7" s="0" t="s">
        <v>109</v>
      </c>
    </row>
    <row r="8">
      <c r="A8" s="0" t="s">
        <v>28</v>
      </c>
      <c r="B8" s="0" t="s">
        <v>30</v>
      </c>
      <c r="C8" s="0" t="s">
        <v>125</v>
      </c>
      <c r="D8" s="0" t="s">
        <v>231</v>
      </c>
      <c r="E8" s="0" t="s">
        <v>229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 t="b">
        <v>0</v>
      </c>
      <c r="O8" s="2">
        <v>44613.583333333336</v>
      </c>
      <c r="P8" s="2">
        <v>44613.625</v>
      </c>
      <c r="Q8" s="2">
        <v>44613.208333333336</v>
      </c>
      <c r="R8" s="2">
        <v>44613.25</v>
      </c>
      <c r="S8" s="0">
        <v>60</v>
      </c>
      <c r="T8" s="0">
        <v>12</v>
      </c>
      <c r="U8" s="0">
        <v>42</v>
      </c>
      <c r="V8" s="0">
        <v>170</v>
      </c>
      <c r="W8" s="1">
        <f>=HYPERLINK("10.175.1.14\MWEB.12\BT\EntityDetails.10.175.1.14.MWEB.12.-api-login.170.xlsx", "&lt;Detail&gt;")</f>
      </c>
      <c r="X8" s="1">
        <f>=HYPERLINK("10.175.1.14\MWEB.12\BT\MetricGraphs.BT.10.175.1.14.MWEB.12.xlsx", "&lt;Metrics&gt;")</f>
      </c>
      <c r="Y8" s="1">
        <f>=HYPERLINK("10.175.1.14\MWEB.12\BT\FlameGraph.BT.10.175.1.14.MWEB.12.-api-login.170.svg", "&lt;FlGraph&gt;")</f>
      </c>
      <c r="Z8" s="1">
        <f>=HYPERLINK("10.175.1.14\MWEB.12\BT\FlameChart.BT.10.175.1.14.MWEB.12.-api-login.170.svg", "&lt;FlChart&gt;")</f>
      </c>
      <c r="AA8" s="0" t="s">
        <v>107</v>
      </c>
      <c r="AB8" s="0" t="s">
        <v>108</v>
      </c>
      <c r="AC8" s="0" t="s">
        <v>126</v>
      </c>
      <c r="AD8" s="0" t="s">
        <v>232</v>
      </c>
      <c r="AE8" s="0" t="s">
        <v>109</v>
      </c>
    </row>
    <row r="9">
      <c r="A9" s="0" t="s">
        <v>28</v>
      </c>
      <c r="B9" s="0" t="s">
        <v>30</v>
      </c>
      <c r="C9" s="0" t="s">
        <v>161</v>
      </c>
      <c r="D9" s="0" t="s">
        <v>233</v>
      </c>
      <c r="E9" s="0" t="s">
        <v>223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 t="b">
        <v>0</v>
      </c>
      <c r="O9" s="2">
        <v>44613.583333333336</v>
      </c>
      <c r="P9" s="2">
        <v>44613.625</v>
      </c>
      <c r="Q9" s="2">
        <v>44613.208333333336</v>
      </c>
      <c r="R9" s="2">
        <v>44613.25</v>
      </c>
      <c r="S9" s="0">
        <v>60</v>
      </c>
      <c r="T9" s="0">
        <v>12</v>
      </c>
      <c r="U9" s="0">
        <v>48</v>
      </c>
      <c r="V9" s="0">
        <v>933</v>
      </c>
      <c r="W9" s="1">
        <f>=HYPERLINK("10.175.1.14\MWEB.12\BT\EntityDetails.10.175.1.14.MWEB.12.-authenticat.933.xlsx", "&lt;Detail&gt;")</f>
      </c>
      <c r="X9" s="1">
        <f>=HYPERLINK("10.175.1.14\MWEB.12\BT\MetricGraphs.BT.10.175.1.14.MWEB.12.xlsx", "&lt;Metrics&gt;")</f>
      </c>
      <c r="Y9" s="1">
        <f>=HYPERLINK("10.175.1.14\MWEB.12\BT\FlameGraph.BT.10.175.1.14.MWEB.12.-authenticat.933.svg", "&lt;FlGraph&gt;")</f>
      </c>
      <c r="Z9" s="1">
        <f>=HYPERLINK("10.175.1.14\MWEB.12\BT\FlameChart.BT.10.175.1.14.MWEB.12.-authenticat.933.svg", "&lt;FlChart&gt;")</f>
      </c>
      <c r="AA9" s="0" t="s">
        <v>107</v>
      </c>
      <c r="AB9" s="0" t="s">
        <v>108</v>
      </c>
      <c r="AC9" s="0" t="s">
        <v>162</v>
      </c>
      <c r="AD9" s="0" t="s">
        <v>234</v>
      </c>
      <c r="AE9" s="0" t="s">
        <v>109</v>
      </c>
    </row>
    <row r="10">
      <c r="A10" s="0" t="s">
        <v>28</v>
      </c>
      <c r="B10" s="0" t="s">
        <v>30</v>
      </c>
      <c r="C10" s="0" t="s">
        <v>143</v>
      </c>
      <c r="D10" s="0" t="s">
        <v>235</v>
      </c>
      <c r="E10" s="0" t="s">
        <v>229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 t="b">
        <v>0</v>
      </c>
      <c r="O10" s="2">
        <v>44613.583333333336</v>
      </c>
      <c r="P10" s="2">
        <v>44613.625</v>
      </c>
      <c r="Q10" s="2">
        <v>44613.208333333336</v>
      </c>
      <c r="R10" s="2">
        <v>44613.25</v>
      </c>
      <c r="S10" s="0">
        <v>60</v>
      </c>
      <c r="T10" s="0">
        <v>12</v>
      </c>
      <c r="U10" s="0">
        <v>43</v>
      </c>
      <c r="V10" s="0">
        <v>426</v>
      </c>
      <c r="W10" s="1">
        <f>=HYPERLINK("10.175.1.14\MWEB.12\BT\EntityDetails.10.175.1.14.MWEB.12.-bea_wls_int.426.xlsx", "&lt;Detail&gt;")</f>
      </c>
      <c r="X10" s="1">
        <f>=HYPERLINK("10.175.1.14\MWEB.12\BT\MetricGraphs.BT.10.175.1.14.MWEB.12.xlsx", "&lt;Metrics&gt;")</f>
      </c>
      <c r="Y10" s="1">
        <f>=HYPERLINK("10.175.1.14\MWEB.12\BT\FlameGraph.BT.10.175.1.14.MWEB.12.-bea_wls_int.426.svg", "&lt;FlGraph&gt;")</f>
      </c>
      <c r="Z10" s="1">
        <f>=HYPERLINK("10.175.1.14\MWEB.12\BT\FlameChart.BT.10.175.1.14.MWEB.12.-bea_wls_int.426.svg", "&lt;FlChart&gt;")</f>
      </c>
      <c r="AA10" s="0" t="s">
        <v>107</v>
      </c>
      <c r="AB10" s="0" t="s">
        <v>108</v>
      </c>
      <c r="AC10" s="0" t="s">
        <v>144</v>
      </c>
      <c r="AD10" s="0" t="s">
        <v>236</v>
      </c>
      <c r="AE10" s="0" t="s">
        <v>109</v>
      </c>
    </row>
    <row r="11">
      <c r="A11" s="0" t="s">
        <v>28</v>
      </c>
      <c r="B11" s="0" t="s">
        <v>30</v>
      </c>
      <c r="C11" s="0" t="s">
        <v>163</v>
      </c>
      <c r="D11" s="0" t="s">
        <v>235</v>
      </c>
      <c r="E11" s="0" t="s">
        <v>229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 t="b">
        <v>0</v>
      </c>
      <c r="O11" s="2">
        <v>44613.583333333336</v>
      </c>
      <c r="P11" s="2">
        <v>44613.625</v>
      </c>
      <c r="Q11" s="2">
        <v>44613.208333333336</v>
      </c>
      <c r="R11" s="2">
        <v>44613.25</v>
      </c>
      <c r="S11" s="0">
        <v>60</v>
      </c>
      <c r="T11" s="0">
        <v>12</v>
      </c>
      <c r="U11" s="0">
        <v>55</v>
      </c>
      <c r="V11" s="0">
        <v>718</v>
      </c>
      <c r="W11" s="1">
        <f>=HYPERLINK("10.175.1.14\MWEB.12\BT\EntityDetails.10.175.1.14.MWEB.12.-bea_wls_int.718.xlsx", "&lt;Detail&gt;")</f>
      </c>
      <c r="X11" s="1">
        <f>=HYPERLINK("10.175.1.14\MWEB.12\BT\MetricGraphs.BT.10.175.1.14.MWEB.12.xlsx", "&lt;Metrics&gt;")</f>
      </c>
      <c r="Y11" s="1">
        <f>=HYPERLINK("10.175.1.14\MWEB.12\BT\FlameGraph.BT.10.175.1.14.MWEB.12.-bea_wls_int.718.svg", "&lt;FlGraph&gt;")</f>
      </c>
      <c r="Z11" s="1">
        <f>=HYPERLINK("10.175.1.14\MWEB.12\BT\FlameChart.BT.10.175.1.14.MWEB.12.-bea_wls_int.718.svg", "&lt;FlChart&gt;")</f>
      </c>
      <c r="AA11" s="0" t="s">
        <v>107</v>
      </c>
      <c r="AB11" s="0" t="s">
        <v>108</v>
      </c>
      <c r="AC11" s="0" t="s">
        <v>164</v>
      </c>
      <c r="AD11" s="0" t="s">
        <v>237</v>
      </c>
      <c r="AE11" s="0" t="s">
        <v>109</v>
      </c>
    </row>
    <row r="12">
      <c r="A12" s="0" t="s">
        <v>28</v>
      </c>
      <c r="B12" s="0" t="s">
        <v>30</v>
      </c>
      <c r="C12" s="0" t="s">
        <v>133</v>
      </c>
      <c r="D12" s="0" t="s">
        <v>238</v>
      </c>
      <c r="E12" s="0" t="s">
        <v>229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 t="b">
        <v>0</v>
      </c>
      <c r="O12" s="2">
        <v>44613.583333333336</v>
      </c>
      <c r="P12" s="2">
        <v>44613.625</v>
      </c>
      <c r="Q12" s="2">
        <v>44613.208333333336</v>
      </c>
      <c r="R12" s="2">
        <v>44613.25</v>
      </c>
      <c r="S12" s="0">
        <v>60</v>
      </c>
      <c r="T12" s="0">
        <v>12</v>
      </c>
      <c r="U12" s="0">
        <v>36</v>
      </c>
      <c r="V12" s="0">
        <v>169</v>
      </c>
      <c r="W12" s="1">
        <f>=HYPERLINK("10.175.1.14\MWEB.12\BT\EntityDetails.10.175.1.14.MWEB.12.-connect-api.169.xlsx", "&lt;Detail&gt;")</f>
      </c>
      <c r="X12" s="1">
        <f>=HYPERLINK("10.175.1.14\MWEB.12\BT\MetricGraphs.BT.10.175.1.14.MWEB.12.xlsx", "&lt;Metrics&gt;")</f>
      </c>
      <c r="Y12" s="1">
        <f>=HYPERLINK("10.175.1.14\MWEB.12\BT\FlameGraph.BT.10.175.1.14.MWEB.12.-connect-api.169.svg", "&lt;FlGraph&gt;")</f>
      </c>
      <c r="Z12" s="1">
        <f>=HYPERLINK("10.175.1.14\MWEB.12\BT\FlameChart.BT.10.175.1.14.MWEB.12.-connect-api.169.svg", "&lt;FlChart&gt;")</f>
      </c>
      <c r="AA12" s="0" t="s">
        <v>107</v>
      </c>
      <c r="AB12" s="0" t="s">
        <v>108</v>
      </c>
      <c r="AC12" s="0" t="s">
        <v>134</v>
      </c>
      <c r="AD12" s="0" t="s">
        <v>239</v>
      </c>
      <c r="AE12" s="0" t="s">
        <v>109</v>
      </c>
    </row>
    <row r="13">
      <c r="A13" s="0" t="s">
        <v>28</v>
      </c>
      <c r="B13" s="0" t="s">
        <v>30</v>
      </c>
      <c r="C13" s="0" t="s">
        <v>135</v>
      </c>
      <c r="D13" s="0" t="s">
        <v>238</v>
      </c>
      <c r="E13" s="0" t="s">
        <v>229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 t="b">
        <v>0</v>
      </c>
      <c r="O13" s="2">
        <v>44613.583333333336</v>
      </c>
      <c r="P13" s="2">
        <v>44613.625</v>
      </c>
      <c r="Q13" s="2">
        <v>44613.208333333336</v>
      </c>
      <c r="R13" s="2">
        <v>44613.25</v>
      </c>
      <c r="S13" s="0">
        <v>60</v>
      </c>
      <c r="T13" s="0">
        <v>12</v>
      </c>
      <c r="U13" s="0">
        <v>37</v>
      </c>
      <c r="V13" s="0">
        <v>204</v>
      </c>
      <c r="W13" s="1">
        <f>=HYPERLINK("10.175.1.14\MWEB.12\BT\EntityDetails.10.175.1.14.MWEB.12.-connect-api.204.xlsx", "&lt;Detail&gt;")</f>
      </c>
      <c r="X13" s="1">
        <f>=HYPERLINK("10.175.1.14\MWEB.12\BT\MetricGraphs.BT.10.175.1.14.MWEB.12.xlsx", "&lt;Metrics&gt;")</f>
      </c>
      <c r="Y13" s="1">
        <f>=HYPERLINK("10.175.1.14\MWEB.12\BT\FlameGraph.BT.10.175.1.14.MWEB.12.-connect-api.204.svg", "&lt;FlGraph&gt;")</f>
      </c>
      <c r="Z13" s="1">
        <f>=HYPERLINK("10.175.1.14\MWEB.12\BT\FlameChart.BT.10.175.1.14.MWEB.12.-connect-api.204.svg", "&lt;FlChart&gt;")</f>
      </c>
      <c r="AA13" s="0" t="s">
        <v>107</v>
      </c>
      <c r="AB13" s="0" t="s">
        <v>108</v>
      </c>
      <c r="AC13" s="0" t="s">
        <v>136</v>
      </c>
      <c r="AD13" s="0" t="s">
        <v>240</v>
      </c>
      <c r="AE13" s="0" t="s">
        <v>109</v>
      </c>
    </row>
    <row r="14">
      <c r="A14" s="0" t="s">
        <v>28</v>
      </c>
      <c r="B14" s="0" t="s">
        <v>30</v>
      </c>
      <c r="C14" s="0" t="s">
        <v>137</v>
      </c>
      <c r="D14" s="0" t="s">
        <v>238</v>
      </c>
      <c r="E14" s="0" t="s">
        <v>229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 t="b">
        <v>0</v>
      </c>
      <c r="O14" s="2">
        <v>44613.583333333336</v>
      </c>
      <c r="P14" s="2">
        <v>44613.625</v>
      </c>
      <c r="Q14" s="2">
        <v>44613.208333333336</v>
      </c>
      <c r="R14" s="2">
        <v>44613.25</v>
      </c>
      <c r="S14" s="0">
        <v>60</v>
      </c>
      <c r="T14" s="0">
        <v>12</v>
      </c>
      <c r="U14" s="0">
        <v>38</v>
      </c>
      <c r="V14" s="0">
        <v>219</v>
      </c>
      <c r="W14" s="1">
        <f>=HYPERLINK("10.175.1.14\MWEB.12\BT\EntityDetails.10.175.1.14.MWEB.12.-connect-api.219.xlsx", "&lt;Detail&gt;")</f>
      </c>
      <c r="X14" s="1">
        <f>=HYPERLINK("10.175.1.14\MWEB.12\BT\MetricGraphs.BT.10.175.1.14.MWEB.12.xlsx", "&lt;Metrics&gt;")</f>
      </c>
      <c r="Y14" s="1">
        <f>=HYPERLINK("10.175.1.14\MWEB.12\BT\FlameGraph.BT.10.175.1.14.MWEB.12.-connect-api.219.svg", "&lt;FlGraph&gt;")</f>
      </c>
      <c r="Z14" s="1">
        <f>=HYPERLINK("10.175.1.14\MWEB.12\BT\FlameChart.BT.10.175.1.14.MWEB.12.-connect-api.219.svg", "&lt;FlChart&gt;")</f>
      </c>
      <c r="AA14" s="0" t="s">
        <v>107</v>
      </c>
      <c r="AB14" s="0" t="s">
        <v>108</v>
      </c>
      <c r="AC14" s="0" t="s">
        <v>138</v>
      </c>
      <c r="AD14" s="0" t="s">
        <v>241</v>
      </c>
      <c r="AE14" s="0" t="s">
        <v>109</v>
      </c>
    </row>
    <row r="15">
      <c r="A15" s="0" t="s">
        <v>28</v>
      </c>
      <c r="B15" s="0" t="s">
        <v>30</v>
      </c>
      <c r="C15" s="0" t="s">
        <v>125</v>
      </c>
      <c r="D15" s="0" t="s">
        <v>242</v>
      </c>
      <c r="E15" s="0" t="s">
        <v>229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 t="b">
        <v>0</v>
      </c>
      <c r="O15" s="2">
        <v>44613.583333333336</v>
      </c>
      <c r="P15" s="2">
        <v>44613.625</v>
      </c>
      <c r="Q15" s="2">
        <v>44613.208333333336</v>
      </c>
      <c r="R15" s="2">
        <v>44613.25</v>
      </c>
      <c r="S15" s="0">
        <v>60</v>
      </c>
      <c r="T15" s="0">
        <v>12</v>
      </c>
      <c r="U15" s="0">
        <v>42</v>
      </c>
      <c r="V15" s="0">
        <v>202</v>
      </c>
      <c r="W15" s="1">
        <f>=HYPERLINK("10.175.1.14\MWEB.12\BT\EntityDetails.10.175.1.14.MWEB.12.-connect-dum.202.xlsx", "&lt;Detail&gt;")</f>
      </c>
      <c r="X15" s="1">
        <f>=HYPERLINK("10.175.1.14\MWEB.12\BT\MetricGraphs.BT.10.175.1.14.MWEB.12.xlsx", "&lt;Metrics&gt;")</f>
      </c>
      <c r="Y15" s="1">
        <f>=HYPERLINK("10.175.1.14\MWEB.12\BT\FlameGraph.BT.10.175.1.14.MWEB.12.-connect-dum.202.svg", "&lt;FlGraph&gt;")</f>
      </c>
      <c r="Z15" s="1">
        <f>=HYPERLINK("10.175.1.14\MWEB.12\BT\FlameChart.BT.10.175.1.14.MWEB.12.-connect-dum.202.svg", "&lt;FlChart&gt;")</f>
      </c>
      <c r="AA15" s="0" t="s">
        <v>107</v>
      </c>
      <c r="AB15" s="0" t="s">
        <v>108</v>
      </c>
      <c r="AC15" s="0" t="s">
        <v>126</v>
      </c>
      <c r="AD15" s="0" t="s">
        <v>243</v>
      </c>
      <c r="AE15" s="0" t="s">
        <v>109</v>
      </c>
    </row>
    <row r="16">
      <c r="A16" s="0" t="s">
        <v>28</v>
      </c>
      <c r="B16" s="0" t="s">
        <v>30</v>
      </c>
      <c r="C16" s="0" t="s">
        <v>129</v>
      </c>
      <c r="D16" s="0" t="s">
        <v>244</v>
      </c>
      <c r="E16" s="0" t="s">
        <v>229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 t="b">
        <v>0</v>
      </c>
      <c r="O16" s="2">
        <v>44613.583333333336</v>
      </c>
      <c r="P16" s="2">
        <v>44613.625</v>
      </c>
      <c r="Q16" s="2">
        <v>44613.208333333336</v>
      </c>
      <c r="R16" s="2">
        <v>44613.25</v>
      </c>
      <c r="S16" s="0">
        <v>60</v>
      </c>
      <c r="T16" s="0">
        <v>12</v>
      </c>
      <c r="U16" s="0">
        <v>41</v>
      </c>
      <c r="V16" s="0">
        <v>406</v>
      </c>
      <c r="W16" s="1">
        <f>=HYPERLINK("10.175.1.14\MWEB.12\BT\EntityDetails.10.175.1.14.MWEB.12.-connect-ind.406.xlsx", "&lt;Detail&gt;")</f>
      </c>
      <c r="X16" s="1">
        <f>=HYPERLINK("10.175.1.14\MWEB.12\BT\MetricGraphs.BT.10.175.1.14.MWEB.12.xlsx", "&lt;Metrics&gt;")</f>
      </c>
      <c r="Y16" s="1">
        <f>=HYPERLINK("10.175.1.14\MWEB.12\BT\FlameGraph.BT.10.175.1.14.MWEB.12.-connect-ind.406.svg", "&lt;FlGraph&gt;")</f>
      </c>
      <c r="Z16" s="1">
        <f>=HYPERLINK("10.175.1.14\MWEB.12\BT\FlameChart.BT.10.175.1.14.MWEB.12.-connect-ind.406.svg", "&lt;FlChart&gt;")</f>
      </c>
      <c r="AA16" s="0" t="s">
        <v>107</v>
      </c>
      <c r="AB16" s="0" t="s">
        <v>108</v>
      </c>
      <c r="AC16" s="0" t="s">
        <v>130</v>
      </c>
      <c r="AD16" s="0" t="s">
        <v>245</v>
      </c>
      <c r="AE16" s="0" t="s">
        <v>109</v>
      </c>
    </row>
    <row r="17">
      <c r="A17" s="0" t="s">
        <v>28</v>
      </c>
      <c r="B17" s="0" t="s">
        <v>30</v>
      </c>
      <c r="C17" s="0" t="s">
        <v>151</v>
      </c>
      <c r="D17" s="0" t="s">
        <v>244</v>
      </c>
      <c r="E17" s="0" t="s">
        <v>229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 t="b">
        <v>0</v>
      </c>
      <c r="O17" s="2">
        <v>44613.583333333336</v>
      </c>
      <c r="P17" s="2">
        <v>44613.625</v>
      </c>
      <c r="Q17" s="2">
        <v>44613.208333333336</v>
      </c>
      <c r="R17" s="2">
        <v>44613.25</v>
      </c>
      <c r="S17" s="0">
        <v>60</v>
      </c>
      <c r="T17" s="0">
        <v>12</v>
      </c>
      <c r="U17" s="0">
        <v>52</v>
      </c>
      <c r="V17" s="0">
        <v>789</v>
      </c>
      <c r="W17" s="1">
        <f>=HYPERLINK("10.175.1.14\MWEB.12\BT\EntityDetails.10.175.1.14.MWEB.12.-connect-ind.789.xlsx", "&lt;Detail&gt;")</f>
      </c>
      <c r="X17" s="1">
        <f>=HYPERLINK("10.175.1.14\MWEB.12\BT\MetricGraphs.BT.10.175.1.14.MWEB.12.xlsx", "&lt;Metrics&gt;")</f>
      </c>
      <c r="Y17" s="1">
        <f>=HYPERLINK("10.175.1.14\MWEB.12\BT\FlameGraph.BT.10.175.1.14.MWEB.12.-connect-ind.789.svg", "&lt;FlGraph&gt;")</f>
      </c>
      <c r="Z17" s="1">
        <f>=HYPERLINK("10.175.1.14\MWEB.12\BT\FlameChart.BT.10.175.1.14.MWEB.12.-connect-ind.789.svg", "&lt;FlChart&gt;")</f>
      </c>
      <c r="AA17" s="0" t="s">
        <v>107</v>
      </c>
      <c r="AB17" s="0" t="s">
        <v>108</v>
      </c>
      <c r="AC17" s="0" t="s">
        <v>152</v>
      </c>
      <c r="AD17" s="0" t="s">
        <v>246</v>
      </c>
      <c r="AE17" s="0" t="s">
        <v>109</v>
      </c>
    </row>
    <row r="18">
      <c r="A18" s="0" t="s">
        <v>28</v>
      </c>
      <c r="B18" s="0" t="s">
        <v>30</v>
      </c>
      <c r="C18" s="0" t="s">
        <v>133</v>
      </c>
      <c r="D18" s="0" t="s">
        <v>247</v>
      </c>
      <c r="E18" s="0" t="s">
        <v>229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 t="b">
        <v>0</v>
      </c>
      <c r="O18" s="2">
        <v>44613.583333333336</v>
      </c>
      <c r="P18" s="2">
        <v>44613.625</v>
      </c>
      <c r="Q18" s="2">
        <v>44613.208333333336</v>
      </c>
      <c r="R18" s="2">
        <v>44613.25</v>
      </c>
      <c r="S18" s="0">
        <v>60</v>
      </c>
      <c r="T18" s="0">
        <v>12</v>
      </c>
      <c r="U18" s="0">
        <v>36</v>
      </c>
      <c r="V18" s="0">
        <v>317</v>
      </c>
      <c r="W18" s="1">
        <f>=HYPERLINK("10.175.1.14\MWEB.12\BT\EntityDetails.10.175.1.14.MWEB.12.-connect-mob.317.xlsx", "&lt;Detail&gt;")</f>
      </c>
      <c r="X18" s="1">
        <f>=HYPERLINK("10.175.1.14\MWEB.12\BT\MetricGraphs.BT.10.175.1.14.MWEB.12.xlsx", "&lt;Metrics&gt;")</f>
      </c>
      <c r="Y18" s="1">
        <f>=HYPERLINK("10.175.1.14\MWEB.12\BT\FlameGraph.BT.10.175.1.14.MWEB.12.-connect-mob.317.svg", "&lt;FlGraph&gt;")</f>
      </c>
      <c r="Z18" s="1">
        <f>=HYPERLINK("10.175.1.14\MWEB.12\BT\FlameChart.BT.10.175.1.14.MWEB.12.-connect-mob.317.svg", "&lt;FlChart&gt;")</f>
      </c>
      <c r="AA18" s="0" t="s">
        <v>107</v>
      </c>
      <c r="AB18" s="0" t="s">
        <v>108</v>
      </c>
      <c r="AC18" s="0" t="s">
        <v>134</v>
      </c>
      <c r="AD18" s="0" t="s">
        <v>248</v>
      </c>
      <c r="AE18" s="0" t="s">
        <v>109</v>
      </c>
    </row>
    <row r="19">
      <c r="A19" s="0" t="s">
        <v>28</v>
      </c>
      <c r="B19" s="0" t="s">
        <v>30</v>
      </c>
      <c r="C19" s="0" t="s">
        <v>133</v>
      </c>
      <c r="D19" s="0" t="s">
        <v>249</v>
      </c>
      <c r="E19" s="0" t="s">
        <v>229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 t="b">
        <v>0</v>
      </c>
      <c r="O19" s="2">
        <v>44613.583333333336</v>
      </c>
      <c r="P19" s="2">
        <v>44613.625</v>
      </c>
      <c r="Q19" s="2">
        <v>44613.208333333336</v>
      </c>
      <c r="R19" s="2">
        <v>44613.25</v>
      </c>
      <c r="S19" s="0">
        <v>60</v>
      </c>
      <c r="T19" s="0">
        <v>12</v>
      </c>
      <c r="U19" s="0">
        <v>36</v>
      </c>
      <c r="V19" s="0">
        <v>365</v>
      </c>
      <c r="W19" s="1">
        <f>=HYPERLINK("10.175.1.14\MWEB.12\BT\EntityDetails.10.175.1.14.MWEB.12.-connect-red.365.xlsx", "&lt;Detail&gt;")</f>
      </c>
      <c r="X19" s="1">
        <f>=HYPERLINK("10.175.1.14\MWEB.12\BT\MetricGraphs.BT.10.175.1.14.MWEB.12.xlsx", "&lt;Metrics&gt;")</f>
      </c>
      <c r="Y19" s="1">
        <f>=HYPERLINK("10.175.1.14\MWEB.12\BT\FlameGraph.BT.10.175.1.14.MWEB.12.-connect-red.365.svg", "&lt;FlGraph&gt;")</f>
      </c>
      <c r="Z19" s="1">
        <f>=HYPERLINK("10.175.1.14\MWEB.12\BT\FlameChart.BT.10.175.1.14.MWEB.12.-connect-red.365.svg", "&lt;FlChart&gt;")</f>
      </c>
      <c r="AA19" s="0" t="s">
        <v>107</v>
      </c>
      <c r="AB19" s="0" t="s">
        <v>108</v>
      </c>
      <c r="AC19" s="0" t="s">
        <v>134</v>
      </c>
      <c r="AD19" s="0" t="s">
        <v>250</v>
      </c>
      <c r="AE19" s="0" t="s">
        <v>109</v>
      </c>
    </row>
    <row r="20">
      <c r="A20" s="0" t="s">
        <v>28</v>
      </c>
      <c r="B20" s="0" t="s">
        <v>30</v>
      </c>
      <c r="C20" s="0" t="s">
        <v>157</v>
      </c>
      <c r="D20" s="0" t="s">
        <v>251</v>
      </c>
      <c r="E20" s="0" t="s">
        <v>229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 t="b">
        <v>0</v>
      </c>
      <c r="O20" s="2">
        <v>44613.583333333336</v>
      </c>
      <c r="P20" s="2">
        <v>44613.625</v>
      </c>
      <c r="Q20" s="2">
        <v>44613.208333333336</v>
      </c>
      <c r="R20" s="2">
        <v>44613.25</v>
      </c>
      <c r="S20" s="0">
        <v>60</v>
      </c>
      <c r="T20" s="0">
        <v>12</v>
      </c>
      <c r="U20" s="0">
        <v>53</v>
      </c>
      <c r="V20" s="0">
        <v>784</v>
      </c>
      <c r="W20" s="1">
        <f>=HYPERLINK("10.175.1.14\MWEB.12\BT\EntityDetails.10.175.1.14.MWEB.12.-connect-WEB.784.xlsx", "&lt;Detail&gt;")</f>
      </c>
      <c r="X20" s="1">
        <f>=HYPERLINK("10.175.1.14\MWEB.12\BT\MetricGraphs.BT.10.175.1.14.MWEB.12.xlsx", "&lt;Metrics&gt;")</f>
      </c>
      <c r="Y20" s="1">
        <f>=HYPERLINK("10.175.1.14\MWEB.12\BT\FlameGraph.BT.10.175.1.14.MWEB.12.-connect-WEB.784.svg", "&lt;FlGraph&gt;")</f>
      </c>
      <c r="Z20" s="1">
        <f>=HYPERLINK("10.175.1.14\MWEB.12\BT\FlameChart.BT.10.175.1.14.MWEB.12.-connect-WEB.784.svg", "&lt;FlChart&gt;")</f>
      </c>
      <c r="AA20" s="0" t="s">
        <v>107</v>
      </c>
      <c r="AB20" s="0" t="s">
        <v>108</v>
      </c>
      <c r="AC20" s="0" t="s">
        <v>158</v>
      </c>
      <c r="AD20" s="0" t="s">
        <v>252</v>
      </c>
      <c r="AE20" s="0" t="s">
        <v>109</v>
      </c>
    </row>
    <row r="21">
      <c r="A21" s="0" t="s">
        <v>28</v>
      </c>
      <c r="B21" s="0" t="s">
        <v>30</v>
      </c>
      <c r="C21" s="0" t="s">
        <v>125</v>
      </c>
      <c r="D21" s="0" t="s">
        <v>253</v>
      </c>
      <c r="E21" s="0" t="s">
        <v>229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 t="b">
        <v>0</v>
      </c>
      <c r="O21" s="2">
        <v>44613.583333333336</v>
      </c>
      <c r="P21" s="2">
        <v>44613.625</v>
      </c>
      <c r="Q21" s="2">
        <v>44613.208333333336</v>
      </c>
      <c r="R21" s="2">
        <v>44613.25</v>
      </c>
      <c r="S21" s="0">
        <v>60</v>
      </c>
      <c r="T21" s="0">
        <v>12</v>
      </c>
      <c r="U21" s="0">
        <v>42</v>
      </c>
      <c r="V21" s="0">
        <v>437</v>
      </c>
      <c r="W21" s="1">
        <f>=HYPERLINK("10.175.1.14\MWEB.12\BT\EntityDetails.10.175.1.14.MWEB.12.-dms2-Login..437.xlsx", "&lt;Detail&gt;")</f>
      </c>
      <c r="X21" s="1">
        <f>=HYPERLINK("10.175.1.14\MWEB.12\BT\MetricGraphs.BT.10.175.1.14.MWEB.12.xlsx", "&lt;Metrics&gt;")</f>
      </c>
      <c r="Y21" s="1">
        <f>=HYPERLINK("10.175.1.14\MWEB.12\BT\FlameGraph.BT.10.175.1.14.MWEB.12.-dms2-Login..437.svg", "&lt;FlGraph&gt;")</f>
      </c>
      <c r="Z21" s="1">
        <f>=HYPERLINK("10.175.1.14\MWEB.12\BT\FlameChart.BT.10.175.1.14.MWEB.12.-dms2-Login..437.svg", "&lt;FlChart&gt;")</f>
      </c>
      <c r="AA21" s="0" t="s">
        <v>107</v>
      </c>
      <c r="AB21" s="0" t="s">
        <v>108</v>
      </c>
      <c r="AC21" s="0" t="s">
        <v>126</v>
      </c>
      <c r="AD21" s="0" t="s">
        <v>254</v>
      </c>
      <c r="AE21" s="0" t="s">
        <v>109</v>
      </c>
    </row>
    <row r="22">
      <c r="A22" s="0" t="s">
        <v>28</v>
      </c>
      <c r="B22" s="0" t="s">
        <v>30</v>
      </c>
      <c r="C22" s="0" t="s">
        <v>161</v>
      </c>
      <c r="D22" s="0" t="s">
        <v>255</v>
      </c>
      <c r="E22" s="0" t="s">
        <v>223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 t="b">
        <v>0</v>
      </c>
      <c r="O22" s="2">
        <v>44613.583333333336</v>
      </c>
      <c r="P22" s="2">
        <v>44613.625</v>
      </c>
      <c r="Q22" s="2">
        <v>44613.208333333336</v>
      </c>
      <c r="R22" s="2">
        <v>44613.25</v>
      </c>
      <c r="S22" s="0">
        <v>60</v>
      </c>
      <c r="T22" s="0">
        <v>12</v>
      </c>
      <c r="U22" s="0">
        <v>48</v>
      </c>
      <c r="V22" s="0">
        <v>930</v>
      </c>
      <c r="W22" s="1">
        <f>=HYPERLINK("10.175.1.14\MWEB.12\BT\EntityDetails.10.175.1.14.MWEB.12.-file.930.xlsx", "&lt;Detail&gt;")</f>
      </c>
      <c r="X22" s="1">
        <f>=HYPERLINK("10.175.1.14\MWEB.12\BT\MetricGraphs.BT.10.175.1.14.MWEB.12.xlsx", "&lt;Metrics&gt;")</f>
      </c>
      <c r="Y22" s="1">
        <f>=HYPERLINK("10.175.1.14\MWEB.12\BT\FlameGraph.BT.10.175.1.14.MWEB.12.-file.930.svg", "&lt;FlGraph&gt;")</f>
      </c>
      <c r="Z22" s="1">
        <f>=HYPERLINK("10.175.1.14\MWEB.12\BT\FlameChart.BT.10.175.1.14.MWEB.12.-file.930.svg", "&lt;FlChart&gt;")</f>
      </c>
      <c r="AA22" s="0" t="s">
        <v>107</v>
      </c>
      <c r="AB22" s="0" t="s">
        <v>108</v>
      </c>
      <c r="AC22" s="0" t="s">
        <v>162</v>
      </c>
      <c r="AD22" s="0" t="s">
        <v>256</v>
      </c>
      <c r="AE22" s="0" t="s">
        <v>109</v>
      </c>
    </row>
    <row r="23">
      <c r="A23" s="0" t="s">
        <v>28</v>
      </c>
      <c r="B23" s="0" t="s">
        <v>30</v>
      </c>
      <c r="C23" s="0" t="s">
        <v>161</v>
      </c>
      <c r="D23" s="0" t="s">
        <v>257</v>
      </c>
      <c r="E23" s="0" t="s">
        <v>223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 t="b">
        <v>0</v>
      </c>
      <c r="O23" s="2">
        <v>44613.583333333336</v>
      </c>
      <c r="P23" s="2">
        <v>44613.625</v>
      </c>
      <c r="Q23" s="2">
        <v>44613.208333333336</v>
      </c>
      <c r="R23" s="2">
        <v>44613.25</v>
      </c>
      <c r="S23" s="0">
        <v>60</v>
      </c>
      <c r="T23" s="0">
        <v>12</v>
      </c>
      <c r="U23" s="0">
        <v>48</v>
      </c>
      <c r="V23" s="0">
        <v>932</v>
      </c>
      <c r="W23" s="1">
        <f>=HYPERLINK("10.175.1.14\MWEB.12\BT\EntityDetails.10.175.1.14.MWEB.12.-hc-error.932.xlsx", "&lt;Detail&gt;")</f>
      </c>
      <c r="X23" s="1">
        <f>=HYPERLINK("10.175.1.14\MWEB.12\BT\MetricGraphs.BT.10.175.1.14.MWEB.12.xlsx", "&lt;Metrics&gt;")</f>
      </c>
      <c r="Y23" s="1">
        <f>=HYPERLINK("10.175.1.14\MWEB.12\BT\FlameGraph.BT.10.175.1.14.MWEB.12.-hc-error.932.svg", "&lt;FlGraph&gt;")</f>
      </c>
      <c r="Z23" s="1">
        <f>=HYPERLINK("10.175.1.14\MWEB.12\BT\FlameChart.BT.10.175.1.14.MWEB.12.-hc-error.932.svg", "&lt;FlChart&gt;")</f>
      </c>
      <c r="AA23" s="0" t="s">
        <v>107</v>
      </c>
      <c r="AB23" s="0" t="s">
        <v>108</v>
      </c>
      <c r="AC23" s="0" t="s">
        <v>162</v>
      </c>
      <c r="AD23" s="0" t="s">
        <v>258</v>
      </c>
      <c r="AE23" s="0" t="s">
        <v>109</v>
      </c>
    </row>
    <row r="24">
      <c r="A24" s="0" t="s">
        <v>28</v>
      </c>
      <c r="B24" s="0" t="s">
        <v>30</v>
      </c>
      <c r="C24" s="0" t="s">
        <v>139</v>
      </c>
      <c r="D24" s="0" t="s">
        <v>259</v>
      </c>
      <c r="E24" s="0" t="s">
        <v>223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 t="b">
        <v>0</v>
      </c>
      <c r="O24" s="2">
        <v>44613.583333333336</v>
      </c>
      <c r="P24" s="2">
        <v>44613.625</v>
      </c>
      <c r="Q24" s="2">
        <v>44613.208333333336</v>
      </c>
      <c r="R24" s="2">
        <v>44613.25</v>
      </c>
      <c r="S24" s="0">
        <v>60</v>
      </c>
      <c r="T24" s="0">
        <v>12</v>
      </c>
      <c r="U24" s="0">
        <v>35</v>
      </c>
      <c r="V24" s="0">
        <v>336</v>
      </c>
      <c r="W24" s="1">
        <f>=HYPERLINK("10.175.1.14\MWEB.12\BT\EntityDetails.10.175.1.14.MWEB.12.-health_chec.336.xlsx", "&lt;Detail&gt;")</f>
      </c>
      <c r="X24" s="1">
        <f>=HYPERLINK("10.175.1.14\MWEB.12\BT\MetricGraphs.BT.10.175.1.14.MWEB.12.xlsx", "&lt;Metrics&gt;")</f>
      </c>
      <c r="Y24" s="1">
        <f>=HYPERLINK("10.175.1.14\MWEB.12\BT\FlameGraph.BT.10.175.1.14.MWEB.12.-health_chec.336.svg", "&lt;FlGraph&gt;")</f>
      </c>
      <c r="Z24" s="1">
        <f>=HYPERLINK("10.175.1.14\MWEB.12\BT\FlameChart.BT.10.175.1.14.MWEB.12.-health_chec.336.svg", "&lt;FlChart&gt;")</f>
      </c>
      <c r="AA24" s="0" t="s">
        <v>107</v>
      </c>
      <c r="AB24" s="0" t="s">
        <v>108</v>
      </c>
      <c r="AC24" s="0" t="s">
        <v>142</v>
      </c>
      <c r="AD24" s="0" t="s">
        <v>260</v>
      </c>
      <c r="AE24" s="0" t="s">
        <v>109</v>
      </c>
    </row>
    <row r="25">
      <c r="A25" s="0" t="s">
        <v>28</v>
      </c>
      <c r="B25" s="0" t="s">
        <v>30</v>
      </c>
      <c r="C25" s="0" t="s">
        <v>125</v>
      </c>
      <c r="D25" s="0" t="s">
        <v>261</v>
      </c>
      <c r="E25" s="0" t="s">
        <v>229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 t="b">
        <v>0</v>
      </c>
      <c r="O25" s="2">
        <v>44613.583333333336</v>
      </c>
      <c r="P25" s="2">
        <v>44613.625</v>
      </c>
      <c r="Q25" s="2">
        <v>44613.208333333336</v>
      </c>
      <c r="R25" s="2">
        <v>44613.25</v>
      </c>
      <c r="S25" s="0">
        <v>60</v>
      </c>
      <c r="T25" s="0">
        <v>12</v>
      </c>
      <c r="U25" s="0">
        <v>42</v>
      </c>
      <c r="V25" s="0">
        <v>157</v>
      </c>
      <c r="W25" s="1">
        <f>=HYPERLINK("10.175.1.14\MWEB.12\BT\EntityDetails.10.175.1.14.MWEB.12.-HealthMonit.157.xlsx", "&lt;Detail&gt;")</f>
      </c>
      <c r="X25" s="1">
        <f>=HYPERLINK("10.175.1.14\MWEB.12\BT\MetricGraphs.BT.10.175.1.14.MWEB.12.xlsx", "&lt;Metrics&gt;")</f>
      </c>
      <c r="Y25" s="1">
        <f>=HYPERLINK("10.175.1.14\MWEB.12\BT\FlameGraph.BT.10.175.1.14.MWEB.12.-HealthMonit.157.svg", "&lt;FlGraph&gt;")</f>
      </c>
      <c r="Z25" s="1">
        <f>=HYPERLINK("10.175.1.14\MWEB.12\BT\FlameChart.BT.10.175.1.14.MWEB.12.-HealthMonit.157.svg", "&lt;FlChart&gt;")</f>
      </c>
      <c r="AA25" s="0" t="s">
        <v>107</v>
      </c>
      <c r="AB25" s="0" t="s">
        <v>108</v>
      </c>
      <c r="AC25" s="0" t="s">
        <v>126</v>
      </c>
      <c r="AD25" s="0" t="s">
        <v>262</v>
      </c>
      <c r="AE25" s="0" t="s">
        <v>109</v>
      </c>
    </row>
    <row r="26">
      <c r="A26" s="0" t="s">
        <v>28</v>
      </c>
      <c r="B26" s="0" t="s">
        <v>30</v>
      </c>
      <c r="C26" s="0" t="s">
        <v>127</v>
      </c>
      <c r="D26" s="0" t="s">
        <v>261</v>
      </c>
      <c r="E26" s="0" t="s">
        <v>229</v>
      </c>
      <c r="F26" s="0">
        <v>0</v>
      </c>
      <c r="G26" s="0" t="s">
        <v>106</v>
      </c>
      <c r="H26" s="0">
        <v>0</v>
      </c>
      <c r="I26" s="0">
        <v>0</v>
      </c>
      <c r="J26" s="0">
        <v>0</v>
      </c>
      <c r="K26" s="0">
        <v>0</v>
      </c>
      <c r="L26" s="0">
        <v>0</v>
      </c>
      <c r="M26" s="0">
        <v>0</v>
      </c>
      <c r="N26" s="0" t="b">
        <v>0</v>
      </c>
      <c r="O26" s="2">
        <v>44613.583333333336</v>
      </c>
      <c r="P26" s="2">
        <v>44613.625</v>
      </c>
      <c r="Q26" s="2">
        <v>44613.208333333336</v>
      </c>
      <c r="R26" s="2">
        <v>44613.25</v>
      </c>
      <c r="S26" s="0">
        <v>60</v>
      </c>
      <c r="T26" s="0">
        <v>12</v>
      </c>
      <c r="U26" s="0">
        <v>39</v>
      </c>
      <c r="V26" s="0">
        <v>108</v>
      </c>
      <c r="W26" s="1">
        <f>=HYPERLINK("10.175.1.14\MWEB.12\BT\EntityDetails.10.175.1.14.MWEB.12.-HealthMonit.108.xlsx", "&lt;Detail&gt;")</f>
      </c>
      <c r="X26" s="1">
        <f>=HYPERLINK("10.175.1.14\MWEB.12\BT\MetricGraphs.BT.10.175.1.14.MWEB.12.xlsx", "&lt;Metrics&gt;")</f>
      </c>
      <c r="Y26" s="1">
        <f>=HYPERLINK("10.175.1.14\MWEB.12\BT\FlameGraph.BT.10.175.1.14.MWEB.12.-HealthMonit.108.svg", "&lt;FlGraph&gt;")</f>
      </c>
      <c r="Z26" s="1">
        <f>=HYPERLINK("10.175.1.14\MWEB.12\BT\FlameChart.BT.10.175.1.14.MWEB.12.-HealthMonit.108.svg", "&lt;FlChart&gt;")</f>
      </c>
      <c r="AA26" s="0" t="s">
        <v>107</v>
      </c>
      <c r="AB26" s="0" t="s">
        <v>108</v>
      </c>
      <c r="AC26" s="0" t="s">
        <v>128</v>
      </c>
      <c r="AD26" s="0" t="s">
        <v>263</v>
      </c>
      <c r="AE26" s="0" t="s">
        <v>109</v>
      </c>
    </row>
    <row r="27">
      <c r="A27" s="0" t="s">
        <v>28</v>
      </c>
      <c r="B27" s="0" t="s">
        <v>30</v>
      </c>
      <c r="C27" s="0" t="s">
        <v>131</v>
      </c>
      <c r="D27" s="0" t="s">
        <v>261</v>
      </c>
      <c r="E27" s="0" t="s">
        <v>229</v>
      </c>
      <c r="F27" s="0">
        <v>0</v>
      </c>
      <c r="G27" s="0" t="s">
        <v>106</v>
      </c>
      <c r="H27" s="0">
        <v>0</v>
      </c>
      <c r="I27" s="0">
        <v>0</v>
      </c>
      <c r="J27" s="0">
        <v>0</v>
      </c>
      <c r="K27" s="0">
        <v>0</v>
      </c>
      <c r="L27" s="0">
        <v>0</v>
      </c>
      <c r="M27" s="0">
        <v>0</v>
      </c>
      <c r="N27" s="0" t="b">
        <v>0</v>
      </c>
      <c r="O27" s="2">
        <v>44613.583333333336</v>
      </c>
      <c r="P27" s="2">
        <v>44613.625</v>
      </c>
      <c r="Q27" s="2">
        <v>44613.208333333336</v>
      </c>
      <c r="R27" s="2">
        <v>44613.25</v>
      </c>
      <c r="S27" s="0">
        <v>60</v>
      </c>
      <c r="T27" s="0">
        <v>12</v>
      </c>
      <c r="U27" s="0">
        <v>40</v>
      </c>
      <c r="V27" s="0">
        <v>234</v>
      </c>
      <c r="W27" s="1">
        <f>=HYPERLINK("10.175.1.14\MWEB.12\BT\EntityDetails.10.175.1.14.MWEB.12.-HealthMonit.234.xlsx", "&lt;Detail&gt;")</f>
      </c>
      <c r="X27" s="1">
        <f>=HYPERLINK("10.175.1.14\MWEB.12\BT\MetricGraphs.BT.10.175.1.14.MWEB.12.xlsx", "&lt;Metrics&gt;")</f>
      </c>
      <c r="Y27" s="1">
        <f>=HYPERLINK("10.175.1.14\MWEB.12\BT\FlameGraph.BT.10.175.1.14.MWEB.12.-HealthMonit.234.svg", "&lt;FlGraph&gt;")</f>
      </c>
      <c r="Z27" s="1">
        <f>=HYPERLINK("10.175.1.14\MWEB.12\BT\FlameChart.BT.10.175.1.14.MWEB.12.-HealthMonit.234.svg", "&lt;FlChart&gt;")</f>
      </c>
      <c r="AA27" s="0" t="s">
        <v>107</v>
      </c>
      <c r="AB27" s="0" t="s">
        <v>108</v>
      </c>
      <c r="AC27" s="0" t="s">
        <v>132</v>
      </c>
      <c r="AD27" s="0" t="s">
        <v>264</v>
      </c>
      <c r="AE27" s="0" t="s">
        <v>109</v>
      </c>
    </row>
    <row r="28">
      <c r="A28" s="0" t="s">
        <v>28</v>
      </c>
      <c r="B28" s="0" t="s">
        <v>30</v>
      </c>
      <c r="C28" s="0" t="s">
        <v>133</v>
      </c>
      <c r="D28" s="0" t="s">
        <v>261</v>
      </c>
      <c r="E28" s="0" t="s">
        <v>229</v>
      </c>
      <c r="F28" s="0">
        <v>0</v>
      </c>
      <c r="G28" s="0" t="s">
        <v>106</v>
      </c>
      <c r="H28" s="0">
        <v>0</v>
      </c>
      <c r="I28" s="0">
        <v>0</v>
      </c>
      <c r="J28" s="0">
        <v>0</v>
      </c>
      <c r="K28" s="0">
        <v>0</v>
      </c>
      <c r="L28" s="0">
        <v>0</v>
      </c>
      <c r="M28" s="0">
        <v>0</v>
      </c>
      <c r="N28" s="0" t="b">
        <v>0</v>
      </c>
      <c r="O28" s="2">
        <v>44613.583333333336</v>
      </c>
      <c r="P28" s="2">
        <v>44613.625</v>
      </c>
      <c r="Q28" s="2">
        <v>44613.208333333336</v>
      </c>
      <c r="R28" s="2">
        <v>44613.25</v>
      </c>
      <c r="S28" s="0">
        <v>60</v>
      </c>
      <c r="T28" s="0">
        <v>12</v>
      </c>
      <c r="U28" s="0">
        <v>36</v>
      </c>
      <c r="V28" s="0">
        <v>158</v>
      </c>
      <c r="W28" s="1">
        <f>=HYPERLINK("10.175.1.14\MWEB.12\BT\EntityDetails.10.175.1.14.MWEB.12.-HealthMonit.158.xlsx", "&lt;Detail&gt;")</f>
      </c>
      <c r="X28" s="1">
        <f>=HYPERLINK("10.175.1.14\MWEB.12\BT\MetricGraphs.BT.10.175.1.14.MWEB.12.xlsx", "&lt;Metrics&gt;")</f>
      </c>
      <c r="Y28" s="1">
        <f>=HYPERLINK("10.175.1.14\MWEB.12\BT\FlameGraph.BT.10.175.1.14.MWEB.12.-HealthMonit.158.svg", "&lt;FlGraph&gt;")</f>
      </c>
      <c r="Z28" s="1">
        <f>=HYPERLINK("10.175.1.14\MWEB.12\BT\FlameChart.BT.10.175.1.14.MWEB.12.-HealthMonit.158.svg", "&lt;FlChart&gt;")</f>
      </c>
      <c r="AA28" s="0" t="s">
        <v>107</v>
      </c>
      <c r="AB28" s="0" t="s">
        <v>108</v>
      </c>
      <c r="AC28" s="0" t="s">
        <v>134</v>
      </c>
      <c r="AD28" s="0" t="s">
        <v>265</v>
      </c>
      <c r="AE28" s="0" t="s">
        <v>109</v>
      </c>
    </row>
    <row r="29">
      <c r="A29" s="0" t="s">
        <v>28</v>
      </c>
      <c r="B29" s="0" t="s">
        <v>30</v>
      </c>
      <c r="C29" s="0" t="s">
        <v>135</v>
      </c>
      <c r="D29" s="0" t="s">
        <v>261</v>
      </c>
      <c r="E29" s="0" t="s">
        <v>229</v>
      </c>
      <c r="F29" s="0">
        <v>0</v>
      </c>
      <c r="G29" s="0" t="s">
        <v>106</v>
      </c>
      <c r="H29" s="0">
        <v>0</v>
      </c>
      <c r="I29" s="0">
        <v>0</v>
      </c>
      <c r="J29" s="0">
        <v>0</v>
      </c>
      <c r="K29" s="0">
        <v>0</v>
      </c>
      <c r="L29" s="0">
        <v>0</v>
      </c>
      <c r="M29" s="0">
        <v>0</v>
      </c>
      <c r="N29" s="0" t="b">
        <v>0</v>
      </c>
      <c r="O29" s="2">
        <v>44613.583333333336</v>
      </c>
      <c r="P29" s="2">
        <v>44613.625</v>
      </c>
      <c r="Q29" s="2">
        <v>44613.208333333336</v>
      </c>
      <c r="R29" s="2">
        <v>44613.25</v>
      </c>
      <c r="S29" s="0">
        <v>60</v>
      </c>
      <c r="T29" s="0">
        <v>12</v>
      </c>
      <c r="U29" s="0">
        <v>37</v>
      </c>
      <c r="V29" s="0">
        <v>207</v>
      </c>
      <c r="W29" s="1">
        <f>=HYPERLINK("10.175.1.14\MWEB.12\BT\EntityDetails.10.175.1.14.MWEB.12.-HealthMonit.207.xlsx", "&lt;Detail&gt;")</f>
      </c>
      <c r="X29" s="1">
        <f>=HYPERLINK("10.175.1.14\MWEB.12\BT\MetricGraphs.BT.10.175.1.14.MWEB.12.xlsx", "&lt;Metrics&gt;")</f>
      </c>
      <c r="Y29" s="1">
        <f>=HYPERLINK("10.175.1.14\MWEB.12\BT\FlameGraph.BT.10.175.1.14.MWEB.12.-HealthMonit.207.svg", "&lt;FlGraph&gt;")</f>
      </c>
      <c r="Z29" s="1">
        <f>=HYPERLINK("10.175.1.14\MWEB.12\BT\FlameChart.BT.10.175.1.14.MWEB.12.-HealthMonit.207.svg", "&lt;FlChart&gt;")</f>
      </c>
      <c r="AA29" s="0" t="s">
        <v>107</v>
      </c>
      <c r="AB29" s="0" t="s">
        <v>108</v>
      </c>
      <c r="AC29" s="0" t="s">
        <v>136</v>
      </c>
      <c r="AD29" s="0" t="s">
        <v>266</v>
      </c>
      <c r="AE29" s="0" t="s">
        <v>109</v>
      </c>
    </row>
    <row r="30">
      <c r="A30" s="0" t="s">
        <v>28</v>
      </c>
      <c r="B30" s="0" t="s">
        <v>30</v>
      </c>
      <c r="C30" s="0" t="s">
        <v>137</v>
      </c>
      <c r="D30" s="0" t="s">
        <v>261</v>
      </c>
      <c r="E30" s="0" t="s">
        <v>229</v>
      </c>
      <c r="F30" s="0">
        <v>0</v>
      </c>
      <c r="G30" s="0" t="s">
        <v>106</v>
      </c>
      <c r="H30" s="0">
        <v>0</v>
      </c>
      <c r="I30" s="0">
        <v>0</v>
      </c>
      <c r="J30" s="0">
        <v>0</v>
      </c>
      <c r="K30" s="0">
        <v>0</v>
      </c>
      <c r="L30" s="0">
        <v>0</v>
      </c>
      <c r="M30" s="0">
        <v>0</v>
      </c>
      <c r="N30" s="0" t="b">
        <v>0</v>
      </c>
      <c r="O30" s="2">
        <v>44613.583333333336</v>
      </c>
      <c r="P30" s="2">
        <v>44613.625</v>
      </c>
      <c r="Q30" s="2">
        <v>44613.208333333336</v>
      </c>
      <c r="R30" s="2">
        <v>44613.25</v>
      </c>
      <c r="S30" s="0">
        <v>60</v>
      </c>
      <c r="T30" s="0">
        <v>12</v>
      </c>
      <c r="U30" s="0">
        <v>38</v>
      </c>
      <c r="V30" s="0">
        <v>208</v>
      </c>
      <c r="W30" s="1">
        <f>=HYPERLINK("10.175.1.14\MWEB.12\BT\EntityDetails.10.175.1.14.MWEB.12.-HealthMonit.208.xlsx", "&lt;Detail&gt;")</f>
      </c>
      <c r="X30" s="1">
        <f>=HYPERLINK("10.175.1.14\MWEB.12\BT\MetricGraphs.BT.10.175.1.14.MWEB.12.xlsx", "&lt;Metrics&gt;")</f>
      </c>
      <c r="Y30" s="1">
        <f>=HYPERLINK("10.175.1.14\MWEB.12\BT\FlameGraph.BT.10.175.1.14.MWEB.12.-HealthMonit.208.svg", "&lt;FlGraph&gt;")</f>
      </c>
      <c r="Z30" s="1">
        <f>=HYPERLINK("10.175.1.14\MWEB.12\BT\FlameChart.BT.10.175.1.14.MWEB.12.-HealthMonit.208.svg", "&lt;FlChart&gt;")</f>
      </c>
      <c r="AA30" s="0" t="s">
        <v>107</v>
      </c>
      <c r="AB30" s="0" t="s">
        <v>108</v>
      </c>
      <c r="AC30" s="0" t="s">
        <v>138</v>
      </c>
      <c r="AD30" s="0" t="s">
        <v>267</v>
      </c>
      <c r="AE30" s="0" t="s">
        <v>109</v>
      </c>
    </row>
    <row r="31">
      <c r="A31" s="0" t="s">
        <v>28</v>
      </c>
      <c r="B31" s="0" t="s">
        <v>30</v>
      </c>
      <c r="C31" s="0" t="s">
        <v>147</v>
      </c>
      <c r="D31" s="0" t="s">
        <v>261</v>
      </c>
      <c r="E31" s="0" t="s">
        <v>229</v>
      </c>
      <c r="F31" s="0">
        <v>0</v>
      </c>
      <c r="G31" s="0" t="s">
        <v>106</v>
      </c>
      <c r="H31" s="0">
        <v>0</v>
      </c>
      <c r="I31" s="0">
        <v>0</v>
      </c>
      <c r="J31" s="0">
        <v>0</v>
      </c>
      <c r="K31" s="0">
        <v>0</v>
      </c>
      <c r="L31" s="0">
        <v>0</v>
      </c>
      <c r="M31" s="0">
        <v>0</v>
      </c>
      <c r="N31" s="0" t="b">
        <v>0</v>
      </c>
      <c r="O31" s="2">
        <v>44613.583333333336</v>
      </c>
      <c r="P31" s="2">
        <v>44613.625</v>
      </c>
      <c r="Q31" s="2">
        <v>44613.208333333336</v>
      </c>
      <c r="R31" s="2">
        <v>44613.25</v>
      </c>
      <c r="S31" s="0">
        <v>60</v>
      </c>
      <c r="T31" s="0">
        <v>12</v>
      </c>
      <c r="U31" s="0">
        <v>49</v>
      </c>
      <c r="V31" s="0">
        <v>702</v>
      </c>
      <c r="W31" s="1">
        <f>=HYPERLINK("10.175.1.14\MWEB.12\BT\EntityDetails.10.175.1.14.MWEB.12.-HealthMonit.702.xlsx", "&lt;Detail&gt;")</f>
      </c>
      <c r="X31" s="1">
        <f>=HYPERLINK("10.175.1.14\MWEB.12\BT\MetricGraphs.BT.10.175.1.14.MWEB.12.xlsx", "&lt;Metrics&gt;")</f>
      </c>
      <c r="Y31" s="1">
        <f>=HYPERLINK("10.175.1.14\MWEB.12\BT\FlameGraph.BT.10.175.1.14.MWEB.12.-HealthMonit.702.svg", "&lt;FlGraph&gt;")</f>
      </c>
      <c r="Z31" s="1">
        <f>=HYPERLINK("10.175.1.14\MWEB.12\BT\FlameChart.BT.10.175.1.14.MWEB.12.-HealthMonit.702.svg", "&lt;FlChart&gt;")</f>
      </c>
      <c r="AA31" s="0" t="s">
        <v>107</v>
      </c>
      <c r="AB31" s="0" t="s">
        <v>108</v>
      </c>
      <c r="AC31" s="0" t="s">
        <v>148</v>
      </c>
      <c r="AD31" s="0" t="s">
        <v>268</v>
      </c>
      <c r="AE31" s="0" t="s">
        <v>109</v>
      </c>
    </row>
    <row r="32">
      <c r="A32" s="0" t="s">
        <v>28</v>
      </c>
      <c r="B32" s="0" t="s">
        <v>30</v>
      </c>
      <c r="C32" s="0" t="s">
        <v>149</v>
      </c>
      <c r="D32" s="0" t="s">
        <v>261</v>
      </c>
      <c r="E32" s="0" t="s">
        <v>229</v>
      </c>
      <c r="F32" s="0">
        <v>0</v>
      </c>
      <c r="G32" s="0" t="s">
        <v>106</v>
      </c>
      <c r="H32" s="0">
        <v>0</v>
      </c>
      <c r="I32" s="0">
        <v>0</v>
      </c>
      <c r="J32" s="0">
        <v>0</v>
      </c>
      <c r="K32" s="0">
        <v>0</v>
      </c>
      <c r="L32" s="0">
        <v>0</v>
      </c>
      <c r="M32" s="0">
        <v>0</v>
      </c>
      <c r="N32" s="0" t="b">
        <v>0</v>
      </c>
      <c r="O32" s="2">
        <v>44613.583333333336</v>
      </c>
      <c r="P32" s="2">
        <v>44613.625</v>
      </c>
      <c r="Q32" s="2">
        <v>44613.208333333336</v>
      </c>
      <c r="R32" s="2">
        <v>44613.25</v>
      </c>
      <c r="S32" s="0">
        <v>60</v>
      </c>
      <c r="T32" s="0">
        <v>12</v>
      </c>
      <c r="U32" s="0">
        <v>50</v>
      </c>
      <c r="V32" s="0">
        <v>700</v>
      </c>
      <c r="W32" s="1">
        <f>=HYPERLINK("10.175.1.14\MWEB.12\BT\EntityDetails.10.175.1.14.MWEB.12.-HealthMonit.700.xlsx", "&lt;Detail&gt;")</f>
      </c>
      <c r="X32" s="1">
        <f>=HYPERLINK("10.175.1.14\MWEB.12\BT\MetricGraphs.BT.10.175.1.14.MWEB.12.xlsx", "&lt;Metrics&gt;")</f>
      </c>
      <c r="Y32" s="1">
        <f>=HYPERLINK("10.175.1.14\MWEB.12\BT\FlameGraph.BT.10.175.1.14.MWEB.12.-HealthMonit.700.svg", "&lt;FlGraph&gt;")</f>
      </c>
      <c r="Z32" s="1">
        <f>=HYPERLINK("10.175.1.14\MWEB.12\BT\FlameChart.BT.10.175.1.14.MWEB.12.-HealthMonit.700.svg", "&lt;FlChart&gt;")</f>
      </c>
      <c r="AA32" s="0" t="s">
        <v>107</v>
      </c>
      <c r="AB32" s="0" t="s">
        <v>108</v>
      </c>
      <c r="AC32" s="0" t="s">
        <v>150</v>
      </c>
      <c r="AD32" s="0" t="s">
        <v>269</v>
      </c>
      <c r="AE32" s="0" t="s">
        <v>109</v>
      </c>
    </row>
    <row r="33">
      <c r="A33" s="0" t="s">
        <v>28</v>
      </c>
      <c r="B33" s="0" t="s">
        <v>30</v>
      </c>
      <c r="C33" s="0" t="s">
        <v>153</v>
      </c>
      <c r="D33" s="0" t="s">
        <v>261</v>
      </c>
      <c r="E33" s="0" t="s">
        <v>229</v>
      </c>
      <c r="F33" s="0">
        <v>0</v>
      </c>
      <c r="G33" s="0" t="s">
        <v>106</v>
      </c>
      <c r="H33" s="0">
        <v>0</v>
      </c>
      <c r="I33" s="0">
        <v>0</v>
      </c>
      <c r="J33" s="0">
        <v>0</v>
      </c>
      <c r="K33" s="0">
        <v>0</v>
      </c>
      <c r="L33" s="0">
        <v>0</v>
      </c>
      <c r="M33" s="0">
        <v>0</v>
      </c>
      <c r="N33" s="0" t="b">
        <v>0</v>
      </c>
      <c r="O33" s="2">
        <v>44613.583333333336</v>
      </c>
      <c r="P33" s="2">
        <v>44613.625</v>
      </c>
      <c r="Q33" s="2">
        <v>44613.208333333336</v>
      </c>
      <c r="R33" s="2">
        <v>44613.25</v>
      </c>
      <c r="S33" s="0">
        <v>60</v>
      </c>
      <c r="T33" s="0">
        <v>12</v>
      </c>
      <c r="U33" s="0">
        <v>51</v>
      </c>
      <c r="V33" s="0">
        <v>699</v>
      </c>
      <c r="W33" s="1">
        <f>=HYPERLINK("10.175.1.14\MWEB.12\BT\EntityDetails.10.175.1.14.MWEB.12.-HealthMonit.699.xlsx", "&lt;Detail&gt;")</f>
      </c>
      <c r="X33" s="1">
        <f>=HYPERLINK("10.175.1.14\MWEB.12\BT\MetricGraphs.BT.10.175.1.14.MWEB.12.xlsx", "&lt;Metrics&gt;")</f>
      </c>
      <c r="Y33" s="1">
        <f>=HYPERLINK("10.175.1.14\MWEB.12\BT\FlameGraph.BT.10.175.1.14.MWEB.12.-HealthMonit.699.svg", "&lt;FlGraph&gt;")</f>
      </c>
      <c r="Z33" s="1">
        <f>=HYPERLINK("10.175.1.14\MWEB.12\BT\FlameChart.BT.10.175.1.14.MWEB.12.-HealthMonit.699.svg", "&lt;FlChart&gt;")</f>
      </c>
      <c r="AA33" s="0" t="s">
        <v>107</v>
      </c>
      <c r="AB33" s="0" t="s">
        <v>108</v>
      </c>
      <c r="AC33" s="0" t="s">
        <v>154</v>
      </c>
      <c r="AD33" s="0" t="s">
        <v>270</v>
      </c>
      <c r="AE33" s="0" t="s">
        <v>109</v>
      </c>
    </row>
    <row r="34">
      <c r="A34" s="0" t="s">
        <v>28</v>
      </c>
      <c r="B34" s="0" t="s">
        <v>30</v>
      </c>
      <c r="C34" s="0" t="s">
        <v>157</v>
      </c>
      <c r="D34" s="0" t="s">
        <v>261</v>
      </c>
      <c r="E34" s="0" t="s">
        <v>229</v>
      </c>
      <c r="F34" s="0">
        <v>0</v>
      </c>
      <c r="G34" s="0" t="s">
        <v>106</v>
      </c>
      <c r="H34" s="0">
        <v>0</v>
      </c>
      <c r="I34" s="0">
        <v>0</v>
      </c>
      <c r="J34" s="0">
        <v>0</v>
      </c>
      <c r="K34" s="0">
        <v>0</v>
      </c>
      <c r="L34" s="0">
        <v>0</v>
      </c>
      <c r="M34" s="0">
        <v>0</v>
      </c>
      <c r="N34" s="0" t="b">
        <v>0</v>
      </c>
      <c r="O34" s="2">
        <v>44613.583333333336</v>
      </c>
      <c r="P34" s="2">
        <v>44613.625</v>
      </c>
      <c r="Q34" s="2">
        <v>44613.208333333336</v>
      </c>
      <c r="R34" s="2">
        <v>44613.25</v>
      </c>
      <c r="S34" s="0">
        <v>60</v>
      </c>
      <c r="T34" s="0">
        <v>12</v>
      </c>
      <c r="U34" s="0">
        <v>53</v>
      </c>
      <c r="V34" s="0">
        <v>696</v>
      </c>
      <c r="W34" s="1">
        <f>=HYPERLINK("10.175.1.14\MWEB.12\BT\EntityDetails.10.175.1.14.MWEB.12.-HealthMonit.696.xlsx", "&lt;Detail&gt;")</f>
      </c>
      <c r="X34" s="1">
        <f>=HYPERLINK("10.175.1.14\MWEB.12\BT\MetricGraphs.BT.10.175.1.14.MWEB.12.xlsx", "&lt;Metrics&gt;")</f>
      </c>
      <c r="Y34" s="1">
        <f>=HYPERLINK("10.175.1.14\MWEB.12\BT\FlameGraph.BT.10.175.1.14.MWEB.12.-HealthMonit.696.svg", "&lt;FlGraph&gt;")</f>
      </c>
      <c r="Z34" s="1">
        <f>=HYPERLINK("10.175.1.14\MWEB.12\BT\FlameChart.BT.10.175.1.14.MWEB.12.-HealthMonit.696.svg", "&lt;FlChart&gt;")</f>
      </c>
      <c r="AA34" s="0" t="s">
        <v>107</v>
      </c>
      <c r="AB34" s="0" t="s">
        <v>108</v>
      </c>
      <c r="AC34" s="0" t="s">
        <v>158</v>
      </c>
      <c r="AD34" s="0" t="s">
        <v>271</v>
      </c>
      <c r="AE34" s="0" t="s">
        <v>109</v>
      </c>
    </row>
    <row r="35">
      <c r="A35" s="0" t="s">
        <v>28</v>
      </c>
      <c r="B35" s="0" t="s">
        <v>30</v>
      </c>
      <c r="C35" s="0" t="s">
        <v>161</v>
      </c>
      <c r="D35" s="0" t="s">
        <v>272</v>
      </c>
      <c r="E35" s="0" t="s">
        <v>223</v>
      </c>
      <c r="F35" s="0">
        <v>0</v>
      </c>
      <c r="G35" s="0" t="s">
        <v>106</v>
      </c>
      <c r="H35" s="0">
        <v>0</v>
      </c>
      <c r="I35" s="0">
        <v>0</v>
      </c>
      <c r="J35" s="0">
        <v>0</v>
      </c>
      <c r="K35" s="0">
        <v>0</v>
      </c>
      <c r="L35" s="0">
        <v>0</v>
      </c>
      <c r="M35" s="0">
        <v>0</v>
      </c>
      <c r="N35" s="0" t="b">
        <v>0</v>
      </c>
      <c r="O35" s="2">
        <v>44613.583333333336</v>
      </c>
      <c r="P35" s="2">
        <v>44613.625</v>
      </c>
      <c r="Q35" s="2">
        <v>44613.208333333336</v>
      </c>
      <c r="R35" s="2">
        <v>44613.25</v>
      </c>
      <c r="S35" s="0">
        <v>60</v>
      </c>
      <c r="T35" s="0">
        <v>12</v>
      </c>
      <c r="U35" s="0">
        <v>48</v>
      </c>
      <c r="V35" s="0">
        <v>927</v>
      </c>
      <c r="W35" s="1">
        <f>=HYPERLINK("10.175.1.14\MWEB.12\BT\EntityDetails.10.175.1.14.MWEB.12.-html-nhome..927.xlsx", "&lt;Detail&gt;")</f>
      </c>
      <c r="X35" s="1">
        <f>=HYPERLINK("10.175.1.14\MWEB.12\BT\MetricGraphs.BT.10.175.1.14.MWEB.12.xlsx", "&lt;Metrics&gt;")</f>
      </c>
      <c r="Y35" s="1">
        <f>=HYPERLINK("10.175.1.14\MWEB.12\BT\FlameGraph.BT.10.175.1.14.MWEB.12.-html-nhome..927.svg", "&lt;FlGraph&gt;")</f>
      </c>
      <c r="Z35" s="1">
        <f>=HYPERLINK("10.175.1.14\MWEB.12\BT\FlameChart.BT.10.175.1.14.MWEB.12.-html-nhome..927.svg", "&lt;FlChart&gt;")</f>
      </c>
      <c r="AA35" s="0" t="s">
        <v>107</v>
      </c>
      <c r="AB35" s="0" t="s">
        <v>108</v>
      </c>
      <c r="AC35" s="0" t="s">
        <v>162</v>
      </c>
      <c r="AD35" s="0" t="s">
        <v>273</v>
      </c>
      <c r="AE35" s="0" t="s">
        <v>109</v>
      </c>
    </row>
    <row r="36">
      <c r="A36" s="0" t="s">
        <v>28</v>
      </c>
      <c r="B36" s="0" t="s">
        <v>30</v>
      </c>
      <c r="C36" s="0" t="s">
        <v>139</v>
      </c>
      <c r="D36" s="0" t="s">
        <v>274</v>
      </c>
      <c r="E36" s="0" t="s">
        <v>223</v>
      </c>
      <c r="F36" s="0">
        <v>0</v>
      </c>
      <c r="G36" s="0" t="s">
        <v>106</v>
      </c>
      <c r="H36" s="0">
        <v>0</v>
      </c>
      <c r="I36" s="0">
        <v>0</v>
      </c>
      <c r="J36" s="0">
        <v>0</v>
      </c>
      <c r="K36" s="0">
        <v>0</v>
      </c>
      <c r="L36" s="0">
        <v>0</v>
      </c>
      <c r="M36" s="0">
        <v>0</v>
      </c>
      <c r="N36" s="0" t="b">
        <v>0</v>
      </c>
      <c r="O36" s="2">
        <v>44613.583333333336</v>
      </c>
      <c r="P36" s="2">
        <v>44613.625</v>
      </c>
      <c r="Q36" s="2">
        <v>44613.208333333336</v>
      </c>
      <c r="R36" s="2">
        <v>44613.25</v>
      </c>
      <c r="S36" s="0">
        <v>60</v>
      </c>
      <c r="T36" s="0">
        <v>12</v>
      </c>
      <c r="U36" s="0">
        <v>35</v>
      </c>
      <c r="V36" s="0">
        <v>441</v>
      </c>
      <c r="W36" s="1">
        <f>=HYPERLINK("10.175.1.14\MWEB.12\BT\EntityDetails.10.175.1.14.MWEB.12.-index.html.441.xlsx", "&lt;Detail&gt;")</f>
      </c>
      <c r="X36" s="1">
        <f>=HYPERLINK("10.175.1.14\MWEB.12\BT\MetricGraphs.BT.10.175.1.14.MWEB.12.xlsx", "&lt;Metrics&gt;")</f>
      </c>
      <c r="Y36" s="1">
        <f>=HYPERLINK("10.175.1.14\MWEB.12\BT\FlameGraph.BT.10.175.1.14.MWEB.12.-index.html.441.svg", "&lt;FlGraph&gt;")</f>
      </c>
      <c r="Z36" s="1">
        <f>=HYPERLINK("10.175.1.14\MWEB.12\BT\FlameChart.BT.10.175.1.14.MWEB.12.-index.html.441.svg", "&lt;FlChart&gt;")</f>
      </c>
      <c r="AA36" s="0" t="s">
        <v>107</v>
      </c>
      <c r="AB36" s="0" t="s">
        <v>108</v>
      </c>
      <c r="AC36" s="0" t="s">
        <v>142</v>
      </c>
      <c r="AD36" s="0" t="s">
        <v>275</v>
      </c>
      <c r="AE36" s="0" t="s">
        <v>109</v>
      </c>
    </row>
    <row r="37">
      <c r="A37" s="0" t="s">
        <v>28</v>
      </c>
      <c r="B37" s="0" t="s">
        <v>30</v>
      </c>
      <c r="C37" s="0" t="s">
        <v>139</v>
      </c>
      <c r="D37" s="0" t="s">
        <v>276</v>
      </c>
      <c r="E37" s="0" t="s">
        <v>223</v>
      </c>
      <c r="F37" s="0">
        <v>0</v>
      </c>
      <c r="G37" s="0" t="s">
        <v>106</v>
      </c>
      <c r="H37" s="0">
        <v>0</v>
      </c>
      <c r="I37" s="0">
        <v>0</v>
      </c>
      <c r="J37" s="0">
        <v>0</v>
      </c>
      <c r="K37" s="0">
        <v>0</v>
      </c>
      <c r="L37" s="0">
        <v>0</v>
      </c>
      <c r="M37" s="0">
        <v>0</v>
      </c>
      <c r="N37" s="0" t="b">
        <v>0</v>
      </c>
      <c r="O37" s="2">
        <v>44613.583333333336</v>
      </c>
      <c r="P37" s="2">
        <v>44613.625</v>
      </c>
      <c r="Q37" s="2">
        <v>44613.208333333336</v>
      </c>
      <c r="R37" s="2">
        <v>44613.25</v>
      </c>
      <c r="S37" s="0">
        <v>60</v>
      </c>
      <c r="T37" s="0">
        <v>12</v>
      </c>
      <c r="U37" s="0">
        <v>35</v>
      </c>
      <c r="V37" s="0">
        <v>479</v>
      </c>
      <c r="W37" s="1">
        <f>=HYPERLINK("10.175.1.14\MWEB.12\BT\EntityDetails.10.175.1.14.MWEB.12.-index.php.479.xlsx", "&lt;Detail&gt;")</f>
      </c>
      <c r="X37" s="1">
        <f>=HYPERLINK("10.175.1.14\MWEB.12\BT\MetricGraphs.BT.10.175.1.14.MWEB.12.xlsx", "&lt;Metrics&gt;")</f>
      </c>
      <c r="Y37" s="1">
        <f>=HYPERLINK("10.175.1.14\MWEB.12\BT\FlameGraph.BT.10.175.1.14.MWEB.12.-index.php.479.svg", "&lt;FlGraph&gt;")</f>
      </c>
      <c r="Z37" s="1">
        <f>=HYPERLINK("10.175.1.14\MWEB.12\BT\FlameChart.BT.10.175.1.14.MWEB.12.-index.php.479.svg", "&lt;FlChart&gt;")</f>
      </c>
      <c r="AA37" s="0" t="s">
        <v>107</v>
      </c>
      <c r="AB37" s="0" t="s">
        <v>108</v>
      </c>
      <c r="AC37" s="0" t="s">
        <v>142</v>
      </c>
      <c r="AD37" s="0" t="s">
        <v>277</v>
      </c>
      <c r="AE37" s="0" t="s">
        <v>109</v>
      </c>
    </row>
    <row r="38">
      <c r="A38" s="0" t="s">
        <v>28</v>
      </c>
      <c r="B38" s="0" t="s">
        <v>30</v>
      </c>
      <c r="C38" s="0" t="s">
        <v>161</v>
      </c>
      <c r="D38" s="0" t="s">
        <v>276</v>
      </c>
      <c r="E38" s="0" t="s">
        <v>223</v>
      </c>
      <c r="F38" s="0">
        <v>0</v>
      </c>
      <c r="G38" s="0" t="s">
        <v>106</v>
      </c>
      <c r="H38" s="0">
        <v>0</v>
      </c>
      <c r="I38" s="0">
        <v>0</v>
      </c>
      <c r="J38" s="0">
        <v>0</v>
      </c>
      <c r="K38" s="0">
        <v>0</v>
      </c>
      <c r="L38" s="0">
        <v>0</v>
      </c>
      <c r="M38" s="0">
        <v>0</v>
      </c>
      <c r="N38" s="0" t="b">
        <v>0</v>
      </c>
      <c r="O38" s="2">
        <v>44613.583333333336</v>
      </c>
      <c r="P38" s="2">
        <v>44613.625</v>
      </c>
      <c r="Q38" s="2">
        <v>44613.208333333336</v>
      </c>
      <c r="R38" s="2">
        <v>44613.25</v>
      </c>
      <c r="S38" s="0">
        <v>60</v>
      </c>
      <c r="T38" s="0">
        <v>12</v>
      </c>
      <c r="U38" s="0">
        <v>48</v>
      </c>
      <c r="V38" s="0">
        <v>929</v>
      </c>
      <c r="W38" s="1">
        <f>=HYPERLINK("10.175.1.14\MWEB.12\BT\EntityDetails.10.175.1.14.MWEB.12.-index.php.929.xlsx", "&lt;Detail&gt;")</f>
      </c>
      <c r="X38" s="1">
        <f>=HYPERLINK("10.175.1.14\MWEB.12\BT\MetricGraphs.BT.10.175.1.14.MWEB.12.xlsx", "&lt;Metrics&gt;")</f>
      </c>
      <c r="Y38" s="1">
        <f>=HYPERLINK("10.175.1.14\MWEB.12\BT\FlameGraph.BT.10.175.1.14.MWEB.12.-index.php.929.svg", "&lt;FlGraph&gt;")</f>
      </c>
      <c r="Z38" s="1">
        <f>=HYPERLINK("10.175.1.14\MWEB.12\BT\FlameChart.BT.10.175.1.14.MWEB.12.-index.php.929.svg", "&lt;FlChart&gt;")</f>
      </c>
      <c r="AA38" s="0" t="s">
        <v>107</v>
      </c>
      <c r="AB38" s="0" t="s">
        <v>108</v>
      </c>
      <c r="AC38" s="0" t="s">
        <v>162</v>
      </c>
      <c r="AD38" s="0" t="s">
        <v>278</v>
      </c>
      <c r="AE38" s="0" t="s">
        <v>109</v>
      </c>
    </row>
    <row r="39">
      <c r="A39" s="0" t="s">
        <v>28</v>
      </c>
      <c r="B39" s="0" t="s">
        <v>30</v>
      </c>
      <c r="C39" s="0" t="s">
        <v>125</v>
      </c>
      <c r="D39" s="0" t="s">
        <v>279</v>
      </c>
      <c r="E39" s="0" t="s">
        <v>229</v>
      </c>
      <c r="F39" s="0">
        <v>0</v>
      </c>
      <c r="G39" s="0" t="s">
        <v>106</v>
      </c>
      <c r="H39" s="0">
        <v>0</v>
      </c>
      <c r="I39" s="0">
        <v>0</v>
      </c>
      <c r="J39" s="0">
        <v>0</v>
      </c>
      <c r="K39" s="0">
        <v>0</v>
      </c>
      <c r="L39" s="0">
        <v>0</v>
      </c>
      <c r="M39" s="0">
        <v>0</v>
      </c>
      <c r="N39" s="0" t="b">
        <v>0</v>
      </c>
      <c r="O39" s="2">
        <v>44613.583333333336</v>
      </c>
      <c r="P39" s="2">
        <v>44613.625</v>
      </c>
      <c r="Q39" s="2">
        <v>44613.208333333336</v>
      </c>
      <c r="R39" s="2">
        <v>44613.25</v>
      </c>
      <c r="S39" s="0">
        <v>60</v>
      </c>
      <c r="T39" s="0">
        <v>12</v>
      </c>
      <c r="U39" s="0">
        <v>42</v>
      </c>
      <c r="V39" s="0">
        <v>168</v>
      </c>
      <c r="W39" s="1">
        <f>=HYPERLINK("10.175.1.14\MWEB.12\BT\EntityDetails.10.175.1.14.MWEB.12.-inet-affili.168.xlsx", "&lt;Detail&gt;")</f>
      </c>
      <c r="X39" s="1">
        <f>=HYPERLINK("10.175.1.14\MWEB.12\BT\MetricGraphs.BT.10.175.1.14.MWEB.12.xlsx", "&lt;Metrics&gt;")</f>
      </c>
      <c r="Y39" s="1">
        <f>=HYPERLINK("10.175.1.14\MWEB.12\BT\FlameGraph.BT.10.175.1.14.MWEB.12.-inet-affili.168.svg", "&lt;FlGraph&gt;")</f>
      </c>
      <c r="Z39" s="1">
        <f>=HYPERLINK("10.175.1.14\MWEB.12\BT\FlameChart.BT.10.175.1.14.MWEB.12.-inet-affili.168.svg", "&lt;FlChart&gt;")</f>
      </c>
      <c r="AA39" s="0" t="s">
        <v>107</v>
      </c>
      <c r="AB39" s="0" t="s">
        <v>108</v>
      </c>
      <c r="AC39" s="0" t="s">
        <v>126</v>
      </c>
      <c r="AD39" s="0" t="s">
        <v>280</v>
      </c>
      <c r="AE39" s="0" t="s">
        <v>109</v>
      </c>
    </row>
    <row r="40">
      <c r="A40" s="0" t="s">
        <v>28</v>
      </c>
      <c r="B40" s="0" t="s">
        <v>30</v>
      </c>
      <c r="C40" s="0" t="s">
        <v>125</v>
      </c>
      <c r="D40" s="0" t="s">
        <v>281</v>
      </c>
      <c r="E40" s="0" t="s">
        <v>229</v>
      </c>
      <c r="F40" s="0">
        <v>0</v>
      </c>
      <c r="G40" s="0" t="s">
        <v>106</v>
      </c>
      <c r="H40" s="0">
        <v>0</v>
      </c>
      <c r="I40" s="0">
        <v>0</v>
      </c>
      <c r="J40" s="0">
        <v>0</v>
      </c>
      <c r="K40" s="0">
        <v>0</v>
      </c>
      <c r="L40" s="0">
        <v>0</v>
      </c>
      <c r="M40" s="0">
        <v>0</v>
      </c>
      <c r="N40" s="0" t="b">
        <v>0</v>
      </c>
      <c r="O40" s="2">
        <v>44613.583333333336</v>
      </c>
      <c r="P40" s="2">
        <v>44613.625</v>
      </c>
      <c r="Q40" s="2">
        <v>44613.208333333336</v>
      </c>
      <c r="R40" s="2">
        <v>44613.25</v>
      </c>
      <c r="S40" s="0">
        <v>60</v>
      </c>
      <c r="T40" s="0">
        <v>12</v>
      </c>
      <c r="U40" s="0">
        <v>42</v>
      </c>
      <c r="V40" s="0">
        <v>184</v>
      </c>
      <c r="W40" s="1">
        <f>=HYPERLINK("10.175.1.14\MWEB.12\BT\EntityDetails.10.175.1.14.MWEB.12.-inet-announ.184.xlsx", "&lt;Detail&gt;")</f>
      </c>
      <c r="X40" s="1">
        <f>=HYPERLINK("10.175.1.14\MWEB.12\BT\MetricGraphs.BT.10.175.1.14.MWEB.12.xlsx", "&lt;Metrics&gt;")</f>
      </c>
      <c r="Y40" s="1">
        <f>=HYPERLINK("10.175.1.14\MWEB.12\BT\FlameGraph.BT.10.175.1.14.MWEB.12.-inet-announ.184.svg", "&lt;FlGraph&gt;")</f>
      </c>
      <c r="Z40" s="1">
        <f>=HYPERLINK("10.175.1.14\MWEB.12\BT\FlameChart.BT.10.175.1.14.MWEB.12.-inet-announ.184.svg", "&lt;FlChart&gt;")</f>
      </c>
      <c r="AA40" s="0" t="s">
        <v>107</v>
      </c>
      <c r="AB40" s="0" t="s">
        <v>108</v>
      </c>
      <c r="AC40" s="0" t="s">
        <v>126</v>
      </c>
      <c r="AD40" s="0" t="s">
        <v>282</v>
      </c>
      <c r="AE40" s="0" t="s">
        <v>109</v>
      </c>
    </row>
    <row r="41">
      <c r="A41" s="0" t="s">
        <v>28</v>
      </c>
      <c r="B41" s="0" t="s">
        <v>30</v>
      </c>
      <c r="C41" s="0" t="s">
        <v>125</v>
      </c>
      <c r="D41" s="0" t="s">
        <v>283</v>
      </c>
      <c r="E41" s="0" t="s">
        <v>229</v>
      </c>
      <c r="F41" s="0">
        <v>0</v>
      </c>
      <c r="G41" s="0" t="s">
        <v>106</v>
      </c>
      <c r="H41" s="0">
        <v>0</v>
      </c>
      <c r="I41" s="0">
        <v>0</v>
      </c>
      <c r="J41" s="0">
        <v>0</v>
      </c>
      <c r="K41" s="0">
        <v>0</v>
      </c>
      <c r="L41" s="0">
        <v>0</v>
      </c>
      <c r="M41" s="0">
        <v>0</v>
      </c>
      <c r="N41" s="0" t="b">
        <v>0</v>
      </c>
      <c r="O41" s="2">
        <v>44613.583333333336</v>
      </c>
      <c r="P41" s="2">
        <v>44613.625</v>
      </c>
      <c r="Q41" s="2">
        <v>44613.208333333336</v>
      </c>
      <c r="R41" s="2">
        <v>44613.25</v>
      </c>
      <c r="S41" s="0">
        <v>60</v>
      </c>
      <c r="T41" s="0">
        <v>12</v>
      </c>
      <c r="U41" s="0">
        <v>42</v>
      </c>
      <c r="V41" s="0">
        <v>214</v>
      </c>
      <c r="W41" s="1">
        <f>=HYPERLINK("10.175.1.14\MWEB.12\BT\EntityDetails.10.175.1.14.MWEB.12.-inet-clerk.214.xlsx", "&lt;Detail&gt;")</f>
      </c>
      <c r="X41" s="1">
        <f>=HYPERLINK("10.175.1.14\MWEB.12\BT\MetricGraphs.BT.10.175.1.14.MWEB.12.xlsx", "&lt;Metrics&gt;")</f>
      </c>
      <c r="Y41" s="1">
        <f>=HYPERLINK("10.175.1.14\MWEB.12\BT\FlameGraph.BT.10.175.1.14.MWEB.12.-inet-clerk.214.svg", "&lt;FlGraph&gt;")</f>
      </c>
      <c r="Z41" s="1">
        <f>=HYPERLINK("10.175.1.14\MWEB.12\BT\FlameChart.BT.10.175.1.14.MWEB.12.-inet-clerk.214.svg", "&lt;FlChart&gt;")</f>
      </c>
      <c r="AA41" s="0" t="s">
        <v>107</v>
      </c>
      <c r="AB41" s="0" t="s">
        <v>108</v>
      </c>
      <c r="AC41" s="0" t="s">
        <v>126</v>
      </c>
      <c r="AD41" s="0" t="s">
        <v>284</v>
      </c>
      <c r="AE41" s="0" t="s">
        <v>109</v>
      </c>
    </row>
    <row r="42">
      <c r="A42" s="0" t="s">
        <v>28</v>
      </c>
      <c r="B42" s="0" t="s">
        <v>30</v>
      </c>
      <c r="C42" s="0" t="s">
        <v>125</v>
      </c>
      <c r="D42" s="0" t="s">
        <v>285</v>
      </c>
      <c r="E42" s="0" t="s">
        <v>229</v>
      </c>
      <c r="F42" s="0">
        <v>0</v>
      </c>
      <c r="G42" s="0" t="s">
        <v>106</v>
      </c>
      <c r="H42" s="0">
        <v>0</v>
      </c>
      <c r="I42" s="0">
        <v>0</v>
      </c>
      <c r="J42" s="0">
        <v>0</v>
      </c>
      <c r="K42" s="0">
        <v>0</v>
      </c>
      <c r="L42" s="0">
        <v>0</v>
      </c>
      <c r="M42" s="0">
        <v>0</v>
      </c>
      <c r="N42" s="0" t="b">
        <v>0</v>
      </c>
      <c r="O42" s="2">
        <v>44613.583333333336</v>
      </c>
      <c r="P42" s="2">
        <v>44613.625</v>
      </c>
      <c r="Q42" s="2">
        <v>44613.208333333336</v>
      </c>
      <c r="R42" s="2">
        <v>44613.25</v>
      </c>
      <c r="S42" s="0">
        <v>60</v>
      </c>
      <c r="T42" s="0">
        <v>12</v>
      </c>
      <c r="U42" s="0">
        <v>42</v>
      </c>
      <c r="V42" s="0">
        <v>213</v>
      </c>
      <c r="W42" s="1">
        <f>=HYPERLINK("10.175.1.14\MWEB.12\BT\EntityDetails.10.175.1.14.MWEB.12.-inet-corpor.213.xlsx", "&lt;Detail&gt;")</f>
      </c>
      <c r="X42" s="1">
        <f>=HYPERLINK("10.175.1.14\MWEB.12\BT\MetricGraphs.BT.10.175.1.14.MWEB.12.xlsx", "&lt;Metrics&gt;")</f>
      </c>
      <c r="Y42" s="1">
        <f>=HYPERLINK("10.175.1.14\MWEB.12\BT\FlameGraph.BT.10.175.1.14.MWEB.12.-inet-corpor.213.svg", "&lt;FlGraph&gt;")</f>
      </c>
      <c r="Z42" s="1">
        <f>=HYPERLINK("10.175.1.14\MWEB.12\BT\FlameChart.BT.10.175.1.14.MWEB.12.-inet-corpor.213.svg", "&lt;FlChart&gt;")</f>
      </c>
      <c r="AA42" s="0" t="s">
        <v>107</v>
      </c>
      <c r="AB42" s="0" t="s">
        <v>108</v>
      </c>
      <c r="AC42" s="0" t="s">
        <v>126</v>
      </c>
      <c r="AD42" s="0" t="s">
        <v>286</v>
      </c>
      <c r="AE42" s="0" t="s">
        <v>109</v>
      </c>
    </row>
    <row r="43">
      <c r="A43" s="0" t="s">
        <v>28</v>
      </c>
      <c r="B43" s="0" t="s">
        <v>30</v>
      </c>
      <c r="C43" s="0" t="s">
        <v>125</v>
      </c>
      <c r="D43" s="0" t="s">
        <v>287</v>
      </c>
      <c r="E43" s="0" t="s">
        <v>229</v>
      </c>
      <c r="F43" s="0">
        <v>0</v>
      </c>
      <c r="G43" s="0" t="s">
        <v>106</v>
      </c>
      <c r="H43" s="0">
        <v>0</v>
      </c>
      <c r="I43" s="0">
        <v>0</v>
      </c>
      <c r="J43" s="0">
        <v>0</v>
      </c>
      <c r="K43" s="0">
        <v>0</v>
      </c>
      <c r="L43" s="0">
        <v>0</v>
      </c>
      <c r="M43" s="0">
        <v>0</v>
      </c>
      <c r="N43" s="0" t="b">
        <v>0</v>
      </c>
      <c r="O43" s="2">
        <v>44613.583333333336</v>
      </c>
      <c r="P43" s="2">
        <v>44613.625</v>
      </c>
      <c r="Q43" s="2">
        <v>44613.208333333336</v>
      </c>
      <c r="R43" s="2">
        <v>44613.25</v>
      </c>
      <c r="S43" s="0">
        <v>60</v>
      </c>
      <c r="T43" s="0">
        <v>12</v>
      </c>
      <c r="U43" s="0">
        <v>42</v>
      </c>
      <c r="V43" s="0">
        <v>155</v>
      </c>
      <c r="W43" s="1">
        <f>=HYPERLINK("10.175.1.14\MWEB.12\BT\EntityDetails.10.175.1.14.MWEB.12.-inet-dy.155.xlsx", "&lt;Detail&gt;")</f>
      </c>
      <c r="X43" s="1">
        <f>=HYPERLINK("10.175.1.14\MWEB.12\BT\MetricGraphs.BT.10.175.1.14.MWEB.12.xlsx", "&lt;Metrics&gt;")</f>
      </c>
      <c r="Y43" s="1">
        <f>=HYPERLINK("10.175.1.14\MWEB.12\BT\FlameGraph.BT.10.175.1.14.MWEB.12.-inet-dy.155.svg", "&lt;FlGraph&gt;")</f>
      </c>
      <c r="Z43" s="1">
        <f>=HYPERLINK("10.175.1.14\MWEB.12\BT\FlameChart.BT.10.175.1.14.MWEB.12.-inet-dy.155.svg", "&lt;FlChart&gt;")</f>
      </c>
      <c r="AA43" s="0" t="s">
        <v>107</v>
      </c>
      <c r="AB43" s="0" t="s">
        <v>108</v>
      </c>
      <c r="AC43" s="0" t="s">
        <v>126</v>
      </c>
      <c r="AD43" s="0" t="s">
        <v>288</v>
      </c>
      <c r="AE43" s="0" t="s">
        <v>109</v>
      </c>
    </row>
    <row r="44">
      <c r="A44" s="0" t="s">
        <v>28</v>
      </c>
      <c r="B44" s="0" t="s">
        <v>30</v>
      </c>
      <c r="C44" s="0" t="s">
        <v>125</v>
      </c>
      <c r="D44" s="0" t="s">
        <v>289</v>
      </c>
      <c r="E44" s="0" t="s">
        <v>229</v>
      </c>
      <c r="F44" s="0">
        <v>0</v>
      </c>
      <c r="G44" s="0" t="s">
        <v>106</v>
      </c>
      <c r="H44" s="0">
        <v>0</v>
      </c>
      <c r="I44" s="0">
        <v>0</v>
      </c>
      <c r="J44" s="0">
        <v>0</v>
      </c>
      <c r="K44" s="0">
        <v>0</v>
      </c>
      <c r="L44" s="0">
        <v>0</v>
      </c>
      <c r="M44" s="0">
        <v>0</v>
      </c>
      <c r="N44" s="0" t="b">
        <v>0</v>
      </c>
      <c r="O44" s="2">
        <v>44613.583333333336</v>
      </c>
      <c r="P44" s="2">
        <v>44613.625</v>
      </c>
      <c r="Q44" s="2">
        <v>44613.208333333336</v>
      </c>
      <c r="R44" s="2">
        <v>44613.25</v>
      </c>
      <c r="S44" s="0">
        <v>60</v>
      </c>
      <c r="T44" s="0">
        <v>12</v>
      </c>
      <c r="U44" s="0">
        <v>42</v>
      </c>
      <c r="V44" s="0">
        <v>222</v>
      </c>
      <c r="W44" s="1">
        <f>=HYPERLINK("10.175.1.14\MWEB.12\BT\EntityDetails.10.175.1.14.MWEB.12.-inet-EshopS.222.xlsx", "&lt;Detail&gt;")</f>
      </c>
      <c r="X44" s="1">
        <f>=HYPERLINK("10.175.1.14\MWEB.12\BT\MetricGraphs.BT.10.175.1.14.MWEB.12.xlsx", "&lt;Metrics&gt;")</f>
      </c>
      <c r="Y44" s="1">
        <f>=HYPERLINK("10.175.1.14\MWEB.12\BT\FlameGraph.BT.10.175.1.14.MWEB.12.-inet-EshopS.222.svg", "&lt;FlGraph&gt;")</f>
      </c>
      <c r="Z44" s="1">
        <f>=HYPERLINK("10.175.1.14\MWEB.12\BT\FlameChart.BT.10.175.1.14.MWEB.12.-inet-EshopS.222.svg", "&lt;FlChart&gt;")</f>
      </c>
      <c r="AA44" s="0" t="s">
        <v>107</v>
      </c>
      <c r="AB44" s="0" t="s">
        <v>108</v>
      </c>
      <c r="AC44" s="0" t="s">
        <v>126</v>
      </c>
      <c r="AD44" s="0" t="s">
        <v>290</v>
      </c>
      <c r="AE44" s="0" t="s">
        <v>109</v>
      </c>
    </row>
    <row r="45">
      <c r="A45" s="0" t="s">
        <v>28</v>
      </c>
      <c r="B45" s="0" t="s">
        <v>30</v>
      </c>
      <c r="C45" s="0" t="s">
        <v>125</v>
      </c>
      <c r="D45" s="0" t="s">
        <v>291</v>
      </c>
      <c r="E45" s="0" t="s">
        <v>229</v>
      </c>
      <c r="F45" s="0">
        <v>0</v>
      </c>
      <c r="G45" s="0" t="s">
        <v>106</v>
      </c>
      <c r="H45" s="0">
        <v>0</v>
      </c>
      <c r="I45" s="0">
        <v>0</v>
      </c>
      <c r="J45" s="0">
        <v>0</v>
      </c>
      <c r="K45" s="0">
        <v>0</v>
      </c>
      <c r="L45" s="0">
        <v>0</v>
      </c>
      <c r="M45" s="0">
        <v>0</v>
      </c>
      <c r="N45" s="0" t="b">
        <v>0</v>
      </c>
      <c r="O45" s="2">
        <v>44613.583333333336</v>
      </c>
      <c r="P45" s="2">
        <v>44613.625</v>
      </c>
      <c r="Q45" s="2">
        <v>44613.208333333336</v>
      </c>
      <c r="R45" s="2">
        <v>44613.25</v>
      </c>
      <c r="S45" s="0">
        <v>60</v>
      </c>
      <c r="T45" s="0">
        <v>12</v>
      </c>
      <c r="U45" s="0">
        <v>42</v>
      </c>
      <c r="V45" s="0">
        <v>156</v>
      </c>
      <c r="W45" s="1">
        <f>=HYPERLINK("10.175.1.14\MWEB.12\BT\EntityDetails.10.175.1.14.MWEB.12.-inet-idpw.156.xlsx", "&lt;Detail&gt;")</f>
      </c>
      <c r="X45" s="1">
        <f>=HYPERLINK("10.175.1.14\MWEB.12\BT\MetricGraphs.BT.10.175.1.14.MWEB.12.xlsx", "&lt;Metrics&gt;")</f>
      </c>
      <c r="Y45" s="1">
        <f>=HYPERLINK("10.175.1.14\MWEB.12\BT\FlameGraph.BT.10.175.1.14.MWEB.12.-inet-idpw.156.svg", "&lt;FlGraph&gt;")</f>
      </c>
      <c r="Z45" s="1">
        <f>=HYPERLINK("10.175.1.14\MWEB.12\BT\FlameChart.BT.10.175.1.14.MWEB.12.-inet-idpw.156.svg", "&lt;FlChart&gt;")</f>
      </c>
      <c r="AA45" s="0" t="s">
        <v>107</v>
      </c>
      <c r="AB45" s="0" t="s">
        <v>108</v>
      </c>
      <c r="AC45" s="0" t="s">
        <v>126</v>
      </c>
      <c r="AD45" s="0" t="s">
        <v>292</v>
      </c>
      <c r="AE45" s="0" t="s">
        <v>109</v>
      </c>
    </row>
    <row r="46">
      <c r="A46" s="0" t="s">
        <v>28</v>
      </c>
      <c r="B46" s="0" t="s">
        <v>30</v>
      </c>
      <c r="C46" s="0" t="s">
        <v>125</v>
      </c>
      <c r="D46" s="0" t="s">
        <v>293</v>
      </c>
      <c r="E46" s="0" t="s">
        <v>229</v>
      </c>
      <c r="F46" s="0">
        <v>0</v>
      </c>
      <c r="G46" s="0" t="s">
        <v>106</v>
      </c>
      <c r="H46" s="0">
        <v>0</v>
      </c>
      <c r="I46" s="0">
        <v>0</v>
      </c>
      <c r="J46" s="0">
        <v>0</v>
      </c>
      <c r="K46" s="0">
        <v>0</v>
      </c>
      <c r="L46" s="0">
        <v>0</v>
      </c>
      <c r="M46" s="0">
        <v>0</v>
      </c>
      <c r="N46" s="0" t="b">
        <v>0</v>
      </c>
      <c r="O46" s="2">
        <v>44613.583333333336</v>
      </c>
      <c r="P46" s="2">
        <v>44613.625</v>
      </c>
      <c r="Q46" s="2">
        <v>44613.208333333336</v>
      </c>
      <c r="R46" s="2">
        <v>44613.25</v>
      </c>
      <c r="S46" s="0">
        <v>60</v>
      </c>
      <c r="T46" s="0">
        <v>12</v>
      </c>
      <c r="U46" s="0">
        <v>42</v>
      </c>
      <c r="V46" s="0">
        <v>106</v>
      </c>
      <c r="W46" s="1">
        <f>=HYPERLINK("10.175.1.14\MWEB.12\BT\EntityDetails.10.175.1.14.MWEB.12.-inet-life.106.xlsx", "&lt;Detail&gt;")</f>
      </c>
      <c r="X46" s="1">
        <f>=HYPERLINK("10.175.1.14\MWEB.12\BT\MetricGraphs.BT.10.175.1.14.MWEB.12.xlsx", "&lt;Metrics&gt;")</f>
      </c>
      <c r="Y46" s="1">
        <f>=HYPERLINK("10.175.1.14\MWEB.12\BT\FlameGraph.BT.10.175.1.14.MWEB.12.-inet-life.106.svg", "&lt;FlGraph&gt;")</f>
      </c>
      <c r="Z46" s="1">
        <f>=HYPERLINK("10.175.1.14\MWEB.12\BT\FlameChart.BT.10.175.1.14.MWEB.12.-inet-life.106.svg", "&lt;FlChart&gt;")</f>
      </c>
      <c r="AA46" s="0" t="s">
        <v>107</v>
      </c>
      <c r="AB46" s="0" t="s">
        <v>108</v>
      </c>
      <c r="AC46" s="0" t="s">
        <v>126</v>
      </c>
      <c r="AD46" s="0" t="s">
        <v>294</v>
      </c>
      <c r="AE46" s="0" t="s">
        <v>109</v>
      </c>
    </row>
    <row r="47">
      <c r="A47" s="0" t="s">
        <v>28</v>
      </c>
      <c r="B47" s="0" t="s">
        <v>30</v>
      </c>
      <c r="C47" s="0" t="s">
        <v>125</v>
      </c>
      <c r="D47" s="0" t="s">
        <v>295</v>
      </c>
      <c r="E47" s="0" t="s">
        <v>229</v>
      </c>
      <c r="F47" s="0">
        <v>0</v>
      </c>
      <c r="G47" s="0" t="s">
        <v>106</v>
      </c>
      <c r="H47" s="0">
        <v>0</v>
      </c>
      <c r="I47" s="0">
        <v>0</v>
      </c>
      <c r="J47" s="0">
        <v>0</v>
      </c>
      <c r="K47" s="0">
        <v>0</v>
      </c>
      <c r="L47" s="0">
        <v>0</v>
      </c>
      <c r="M47" s="0">
        <v>0</v>
      </c>
      <c r="N47" s="0" t="b">
        <v>0</v>
      </c>
      <c r="O47" s="2">
        <v>44613.583333333336</v>
      </c>
      <c r="P47" s="2">
        <v>44613.625</v>
      </c>
      <c r="Q47" s="2">
        <v>44613.208333333336</v>
      </c>
      <c r="R47" s="2">
        <v>44613.25</v>
      </c>
      <c r="S47" s="0">
        <v>60</v>
      </c>
      <c r="T47" s="0">
        <v>12</v>
      </c>
      <c r="U47" s="0">
        <v>42</v>
      </c>
      <c r="V47" s="0">
        <v>167</v>
      </c>
      <c r="W47" s="1">
        <f>=HYPERLINK("10.175.1.14\MWEB.12\BT\EntityDetails.10.175.1.14.MWEB.12.-inet-ni.167.xlsx", "&lt;Detail&gt;")</f>
      </c>
      <c r="X47" s="1">
        <f>=HYPERLINK("10.175.1.14\MWEB.12\BT\MetricGraphs.BT.10.175.1.14.MWEB.12.xlsx", "&lt;Metrics&gt;")</f>
      </c>
      <c r="Y47" s="1">
        <f>=HYPERLINK("10.175.1.14\MWEB.12\BT\FlameGraph.BT.10.175.1.14.MWEB.12.-inet-ni.167.svg", "&lt;FlGraph&gt;")</f>
      </c>
      <c r="Z47" s="1">
        <f>=HYPERLINK("10.175.1.14\MWEB.12\BT\FlameChart.BT.10.175.1.14.MWEB.12.-inet-ni.167.svg", "&lt;FlChart&gt;")</f>
      </c>
      <c r="AA47" s="0" t="s">
        <v>107</v>
      </c>
      <c r="AB47" s="0" t="s">
        <v>108</v>
      </c>
      <c r="AC47" s="0" t="s">
        <v>126</v>
      </c>
      <c r="AD47" s="0" t="s">
        <v>296</v>
      </c>
      <c r="AE47" s="0" t="s">
        <v>109</v>
      </c>
    </row>
    <row r="48">
      <c r="A48" s="0" t="s">
        <v>28</v>
      </c>
      <c r="B48" s="0" t="s">
        <v>30</v>
      </c>
      <c r="C48" s="0" t="s">
        <v>127</v>
      </c>
      <c r="D48" s="0" t="s">
        <v>297</v>
      </c>
      <c r="E48" s="0" t="s">
        <v>229</v>
      </c>
      <c r="F48" s="0">
        <v>0</v>
      </c>
      <c r="G48" s="0" t="s">
        <v>106</v>
      </c>
      <c r="H48" s="0">
        <v>0</v>
      </c>
      <c r="I48" s="0">
        <v>0</v>
      </c>
      <c r="J48" s="0">
        <v>0</v>
      </c>
      <c r="K48" s="0">
        <v>0</v>
      </c>
      <c r="L48" s="0">
        <v>0</v>
      </c>
      <c r="M48" s="0">
        <v>0</v>
      </c>
      <c r="N48" s="0" t="b">
        <v>0</v>
      </c>
      <c r="O48" s="2">
        <v>44613.583333333336</v>
      </c>
      <c r="P48" s="2">
        <v>44613.625</v>
      </c>
      <c r="Q48" s="2">
        <v>44613.208333333336</v>
      </c>
      <c r="R48" s="2">
        <v>44613.25</v>
      </c>
      <c r="S48" s="0">
        <v>60</v>
      </c>
      <c r="T48" s="0">
        <v>12</v>
      </c>
      <c r="U48" s="0">
        <v>39</v>
      </c>
      <c r="V48" s="0">
        <v>212</v>
      </c>
      <c r="W48" s="1">
        <f>=HYPERLINK("10.175.1.14\MWEB.12\BT\EntityDetails.10.175.1.14.MWEB.12.-inet-nyukai.212.xlsx", "&lt;Detail&gt;")</f>
      </c>
      <c r="X48" s="1">
        <f>=HYPERLINK("10.175.1.14\MWEB.12\BT\MetricGraphs.BT.10.175.1.14.MWEB.12.xlsx", "&lt;Metrics&gt;")</f>
      </c>
      <c r="Y48" s="1">
        <f>=HYPERLINK("10.175.1.14\MWEB.12\BT\FlameGraph.BT.10.175.1.14.MWEB.12.-inet-nyukai.212.svg", "&lt;FlGraph&gt;")</f>
      </c>
      <c r="Z48" s="1">
        <f>=HYPERLINK("10.175.1.14\MWEB.12\BT\FlameChart.BT.10.175.1.14.MWEB.12.-inet-nyukai.212.svg", "&lt;FlChart&gt;")</f>
      </c>
      <c r="AA48" s="0" t="s">
        <v>107</v>
      </c>
      <c r="AB48" s="0" t="s">
        <v>108</v>
      </c>
      <c r="AC48" s="0" t="s">
        <v>128</v>
      </c>
      <c r="AD48" s="0" t="s">
        <v>298</v>
      </c>
      <c r="AE48" s="0" t="s">
        <v>109</v>
      </c>
    </row>
    <row r="49">
      <c r="A49" s="0" t="s">
        <v>28</v>
      </c>
      <c r="B49" s="0" t="s">
        <v>30</v>
      </c>
      <c r="C49" s="0" t="s">
        <v>125</v>
      </c>
      <c r="D49" s="0" t="s">
        <v>299</v>
      </c>
      <c r="E49" s="0" t="s">
        <v>229</v>
      </c>
      <c r="F49" s="0">
        <v>0</v>
      </c>
      <c r="G49" s="0" t="s">
        <v>106</v>
      </c>
      <c r="H49" s="0">
        <v>0</v>
      </c>
      <c r="I49" s="0">
        <v>0</v>
      </c>
      <c r="J49" s="0">
        <v>0</v>
      </c>
      <c r="K49" s="0">
        <v>0</v>
      </c>
      <c r="L49" s="0">
        <v>0</v>
      </c>
      <c r="M49" s="0">
        <v>0</v>
      </c>
      <c r="N49" s="0" t="b">
        <v>0</v>
      </c>
      <c r="O49" s="2">
        <v>44613.583333333336</v>
      </c>
      <c r="P49" s="2">
        <v>44613.625</v>
      </c>
      <c r="Q49" s="2">
        <v>44613.208333333336</v>
      </c>
      <c r="R49" s="2">
        <v>44613.25</v>
      </c>
      <c r="S49" s="0">
        <v>60</v>
      </c>
      <c r="T49" s="0">
        <v>12</v>
      </c>
      <c r="U49" s="0">
        <v>42</v>
      </c>
      <c r="V49" s="0">
        <v>159</v>
      </c>
      <c r="W49" s="1">
        <f>=HYPERLINK("10.175.1.14\MWEB.12\BT\EntityDetails.10.175.1.14.MWEB.12.-inet-online.159.xlsx", "&lt;Detail&gt;")</f>
      </c>
      <c r="X49" s="1">
        <f>=HYPERLINK("10.175.1.14\MWEB.12\BT\MetricGraphs.BT.10.175.1.14.MWEB.12.xlsx", "&lt;Metrics&gt;")</f>
      </c>
      <c r="Y49" s="1">
        <f>=HYPERLINK("10.175.1.14\MWEB.12\BT\FlameGraph.BT.10.175.1.14.MWEB.12.-inet-online.159.svg", "&lt;FlGraph&gt;")</f>
      </c>
      <c r="Z49" s="1">
        <f>=HYPERLINK("10.175.1.14\MWEB.12\BT\FlameChart.BT.10.175.1.14.MWEB.12.-inet-online.159.svg", "&lt;FlChart&gt;")</f>
      </c>
      <c r="AA49" s="0" t="s">
        <v>107</v>
      </c>
      <c r="AB49" s="0" t="s">
        <v>108</v>
      </c>
      <c r="AC49" s="0" t="s">
        <v>126</v>
      </c>
      <c r="AD49" s="0" t="s">
        <v>300</v>
      </c>
      <c r="AE49" s="0" t="s">
        <v>109</v>
      </c>
    </row>
    <row r="50">
      <c r="A50" s="0" t="s">
        <v>28</v>
      </c>
      <c r="B50" s="0" t="s">
        <v>30</v>
      </c>
      <c r="C50" s="0" t="s">
        <v>125</v>
      </c>
      <c r="D50" s="0" t="s">
        <v>301</v>
      </c>
      <c r="E50" s="0" t="s">
        <v>229</v>
      </c>
      <c r="F50" s="0">
        <v>0</v>
      </c>
      <c r="G50" s="0" t="s">
        <v>106</v>
      </c>
      <c r="H50" s="0">
        <v>0</v>
      </c>
      <c r="I50" s="0">
        <v>0</v>
      </c>
      <c r="J50" s="0">
        <v>0</v>
      </c>
      <c r="K50" s="0">
        <v>0</v>
      </c>
      <c r="L50" s="0">
        <v>0</v>
      </c>
      <c r="M50" s="0">
        <v>0</v>
      </c>
      <c r="N50" s="0" t="b">
        <v>0</v>
      </c>
      <c r="O50" s="2">
        <v>44613.583333333336</v>
      </c>
      <c r="P50" s="2">
        <v>44613.625</v>
      </c>
      <c r="Q50" s="2">
        <v>44613.208333333336</v>
      </c>
      <c r="R50" s="2">
        <v>44613.25</v>
      </c>
      <c r="S50" s="0">
        <v>60</v>
      </c>
      <c r="T50" s="0">
        <v>12</v>
      </c>
      <c r="U50" s="0">
        <v>42</v>
      </c>
      <c r="V50" s="0">
        <v>164</v>
      </c>
      <c r="W50" s="1">
        <f>=HYPERLINK("10.175.1.14\MWEB.12\BT\EntityDetails.10.175.1.14.MWEB.12.-inet-postac.164.xlsx", "&lt;Detail&gt;")</f>
      </c>
      <c r="X50" s="1">
        <f>=HYPERLINK("10.175.1.14\MWEB.12\BT\MetricGraphs.BT.10.175.1.14.MWEB.12.xlsx", "&lt;Metrics&gt;")</f>
      </c>
      <c r="Y50" s="1">
        <f>=HYPERLINK("10.175.1.14\MWEB.12\BT\FlameGraph.BT.10.175.1.14.MWEB.12.-inet-postac.164.svg", "&lt;FlGraph&gt;")</f>
      </c>
      <c r="Z50" s="1">
        <f>=HYPERLINK("10.175.1.14\MWEB.12\BT\FlameChart.BT.10.175.1.14.MWEB.12.-inet-postac.164.svg", "&lt;FlChart&gt;")</f>
      </c>
      <c r="AA50" s="0" t="s">
        <v>107</v>
      </c>
      <c r="AB50" s="0" t="s">
        <v>108</v>
      </c>
      <c r="AC50" s="0" t="s">
        <v>126</v>
      </c>
      <c r="AD50" s="0" t="s">
        <v>302</v>
      </c>
      <c r="AE50" s="0" t="s">
        <v>109</v>
      </c>
    </row>
    <row r="51">
      <c r="A51" s="0" t="s">
        <v>28</v>
      </c>
      <c r="B51" s="0" t="s">
        <v>30</v>
      </c>
      <c r="C51" s="0" t="s">
        <v>125</v>
      </c>
      <c r="D51" s="0" t="s">
        <v>303</v>
      </c>
      <c r="E51" s="0" t="s">
        <v>229</v>
      </c>
      <c r="F51" s="0">
        <v>0</v>
      </c>
      <c r="G51" s="0" t="s">
        <v>106</v>
      </c>
      <c r="H51" s="0">
        <v>0</v>
      </c>
      <c r="I51" s="0">
        <v>0</v>
      </c>
      <c r="J51" s="0">
        <v>0</v>
      </c>
      <c r="K51" s="0">
        <v>0</v>
      </c>
      <c r="L51" s="0">
        <v>0</v>
      </c>
      <c r="M51" s="0">
        <v>0</v>
      </c>
      <c r="N51" s="0" t="b">
        <v>0</v>
      </c>
      <c r="O51" s="2">
        <v>44613.583333333336</v>
      </c>
      <c r="P51" s="2">
        <v>44613.625</v>
      </c>
      <c r="Q51" s="2">
        <v>44613.208333333336</v>
      </c>
      <c r="R51" s="2">
        <v>44613.25</v>
      </c>
      <c r="S51" s="0">
        <v>60</v>
      </c>
      <c r="T51" s="0">
        <v>12</v>
      </c>
      <c r="U51" s="0">
        <v>42</v>
      </c>
      <c r="V51" s="0">
        <v>216</v>
      </c>
      <c r="W51" s="1">
        <f>=HYPERLINK("10.175.1.14\MWEB.12\BT\EntityDetails.10.175.1.14.MWEB.12.-inet-rwd.216.xlsx", "&lt;Detail&gt;")</f>
      </c>
      <c r="X51" s="1">
        <f>=HYPERLINK("10.175.1.14\MWEB.12\BT\MetricGraphs.BT.10.175.1.14.MWEB.12.xlsx", "&lt;Metrics&gt;")</f>
      </c>
      <c r="Y51" s="1">
        <f>=HYPERLINK("10.175.1.14\MWEB.12\BT\FlameGraph.BT.10.175.1.14.MWEB.12.-inet-rwd.216.svg", "&lt;FlGraph&gt;")</f>
      </c>
      <c r="Z51" s="1">
        <f>=HYPERLINK("10.175.1.14\MWEB.12\BT\FlameChart.BT.10.175.1.14.MWEB.12.-inet-rwd.216.svg", "&lt;FlChart&gt;")</f>
      </c>
      <c r="AA51" s="0" t="s">
        <v>107</v>
      </c>
      <c r="AB51" s="0" t="s">
        <v>108</v>
      </c>
      <c r="AC51" s="0" t="s">
        <v>126</v>
      </c>
      <c r="AD51" s="0" t="s">
        <v>304</v>
      </c>
      <c r="AE51" s="0" t="s">
        <v>109</v>
      </c>
    </row>
    <row r="52">
      <c r="A52" s="0" t="s">
        <v>28</v>
      </c>
      <c r="B52" s="0" t="s">
        <v>30</v>
      </c>
      <c r="C52" s="0" t="s">
        <v>125</v>
      </c>
      <c r="D52" s="0" t="s">
        <v>305</v>
      </c>
      <c r="E52" s="0" t="s">
        <v>229</v>
      </c>
      <c r="F52" s="0">
        <v>0</v>
      </c>
      <c r="G52" s="0" t="s">
        <v>106</v>
      </c>
      <c r="H52" s="0">
        <v>0</v>
      </c>
      <c r="I52" s="0">
        <v>0</v>
      </c>
      <c r="J52" s="0">
        <v>0</v>
      </c>
      <c r="K52" s="0">
        <v>0</v>
      </c>
      <c r="L52" s="0">
        <v>0</v>
      </c>
      <c r="M52" s="0">
        <v>0</v>
      </c>
      <c r="N52" s="0" t="b">
        <v>0</v>
      </c>
      <c r="O52" s="2">
        <v>44613.583333333336</v>
      </c>
      <c r="P52" s="2">
        <v>44613.625</v>
      </c>
      <c r="Q52" s="2">
        <v>44613.208333333336</v>
      </c>
      <c r="R52" s="2">
        <v>44613.25</v>
      </c>
      <c r="S52" s="0">
        <v>60</v>
      </c>
      <c r="T52" s="0">
        <v>12</v>
      </c>
      <c r="U52" s="0">
        <v>42</v>
      </c>
      <c r="V52" s="0">
        <v>218</v>
      </c>
      <c r="W52" s="1">
        <f>=HYPERLINK("10.175.1.14\MWEB.12\BT\EntityDetails.10.175.1.14.MWEB.12.-inet-seamle.218.xlsx", "&lt;Detail&gt;")</f>
      </c>
      <c r="X52" s="1">
        <f>=HYPERLINK("10.175.1.14\MWEB.12\BT\MetricGraphs.BT.10.175.1.14.MWEB.12.xlsx", "&lt;Metrics&gt;")</f>
      </c>
      <c r="Y52" s="1">
        <f>=HYPERLINK("10.175.1.14\MWEB.12\BT\FlameGraph.BT.10.175.1.14.MWEB.12.-inet-seamle.218.svg", "&lt;FlGraph&gt;")</f>
      </c>
      <c r="Z52" s="1">
        <f>=HYPERLINK("10.175.1.14\MWEB.12\BT\FlameChart.BT.10.175.1.14.MWEB.12.-inet-seamle.218.svg", "&lt;FlChart&gt;")</f>
      </c>
      <c r="AA52" s="0" t="s">
        <v>107</v>
      </c>
      <c r="AB52" s="0" t="s">
        <v>108</v>
      </c>
      <c r="AC52" s="0" t="s">
        <v>126</v>
      </c>
      <c r="AD52" s="0" t="s">
        <v>306</v>
      </c>
      <c r="AE52" s="0" t="s">
        <v>109</v>
      </c>
    </row>
    <row r="53">
      <c r="A53" s="0" t="s">
        <v>28</v>
      </c>
      <c r="B53" s="0" t="s">
        <v>30</v>
      </c>
      <c r="C53" s="0" t="s">
        <v>125</v>
      </c>
      <c r="D53" s="0" t="s">
        <v>307</v>
      </c>
      <c r="E53" s="0" t="s">
        <v>229</v>
      </c>
      <c r="F53" s="0">
        <v>0</v>
      </c>
      <c r="G53" s="0" t="s">
        <v>106</v>
      </c>
      <c r="H53" s="0">
        <v>0</v>
      </c>
      <c r="I53" s="0">
        <v>0</v>
      </c>
      <c r="J53" s="0">
        <v>0</v>
      </c>
      <c r="K53" s="0">
        <v>0</v>
      </c>
      <c r="L53" s="0">
        <v>0</v>
      </c>
      <c r="M53" s="0">
        <v>0</v>
      </c>
      <c r="N53" s="0" t="b">
        <v>0</v>
      </c>
      <c r="O53" s="2">
        <v>44613.583333333336</v>
      </c>
      <c r="P53" s="2">
        <v>44613.625</v>
      </c>
      <c r="Q53" s="2">
        <v>44613.208333333336</v>
      </c>
      <c r="R53" s="2">
        <v>44613.25</v>
      </c>
      <c r="S53" s="0">
        <v>60</v>
      </c>
      <c r="T53" s="0">
        <v>12</v>
      </c>
      <c r="U53" s="0">
        <v>42</v>
      </c>
      <c r="V53" s="0">
        <v>165</v>
      </c>
      <c r="W53" s="1">
        <f>=HYPERLINK("10.175.1.14\MWEB.12\BT\EntityDetails.10.175.1.14.MWEB.12.-inet-shiryo.165.xlsx", "&lt;Detail&gt;")</f>
      </c>
      <c r="X53" s="1">
        <f>=HYPERLINK("10.175.1.14\MWEB.12\BT\MetricGraphs.BT.10.175.1.14.MWEB.12.xlsx", "&lt;Metrics&gt;")</f>
      </c>
      <c r="Y53" s="1">
        <f>=HYPERLINK("10.175.1.14\MWEB.12\BT\FlameGraph.BT.10.175.1.14.MWEB.12.-inet-shiryo.165.svg", "&lt;FlGraph&gt;")</f>
      </c>
      <c r="Z53" s="1">
        <f>=HYPERLINK("10.175.1.14\MWEB.12\BT\FlameChart.BT.10.175.1.14.MWEB.12.-inet-shiryo.165.svg", "&lt;FlChart&gt;")</f>
      </c>
      <c r="AA53" s="0" t="s">
        <v>107</v>
      </c>
      <c r="AB53" s="0" t="s">
        <v>108</v>
      </c>
      <c r="AC53" s="0" t="s">
        <v>126</v>
      </c>
      <c r="AD53" s="0" t="s">
        <v>308</v>
      </c>
      <c r="AE53" s="0" t="s">
        <v>109</v>
      </c>
    </row>
    <row r="54">
      <c r="A54" s="0" t="s">
        <v>28</v>
      </c>
      <c r="B54" s="0" t="s">
        <v>30</v>
      </c>
      <c r="C54" s="0" t="s">
        <v>125</v>
      </c>
      <c r="D54" s="0" t="s">
        <v>309</v>
      </c>
      <c r="E54" s="0" t="s">
        <v>229</v>
      </c>
      <c r="F54" s="0">
        <v>0</v>
      </c>
      <c r="G54" s="0" t="s">
        <v>106</v>
      </c>
      <c r="H54" s="0">
        <v>0</v>
      </c>
      <c r="I54" s="0">
        <v>0</v>
      </c>
      <c r="J54" s="0">
        <v>0</v>
      </c>
      <c r="K54" s="0">
        <v>0</v>
      </c>
      <c r="L54" s="0">
        <v>0</v>
      </c>
      <c r="M54" s="0">
        <v>0</v>
      </c>
      <c r="N54" s="0" t="b">
        <v>0</v>
      </c>
      <c r="O54" s="2">
        <v>44613.583333333336</v>
      </c>
      <c r="P54" s="2">
        <v>44613.625</v>
      </c>
      <c r="Q54" s="2">
        <v>44613.208333333336</v>
      </c>
      <c r="R54" s="2">
        <v>44613.25</v>
      </c>
      <c r="S54" s="0">
        <v>60</v>
      </c>
      <c r="T54" s="0">
        <v>12</v>
      </c>
      <c r="U54" s="0">
        <v>42</v>
      </c>
      <c r="V54" s="0">
        <v>163</v>
      </c>
      <c r="W54" s="1">
        <f>=HYPERLINK("10.175.1.14\MWEB.12\BT\EntityDetails.10.175.1.14.MWEB.12.-inet-siryo.163.xlsx", "&lt;Detail&gt;")</f>
      </c>
      <c r="X54" s="1">
        <f>=HYPERLINK("10.175.1.14\MWEB.12\BT\MetricGraphs.BT.10.175.1.14.MWEB.12.xlsx", "&lt;Metrics&gt;")</f>
      </c>
      <c r="Y54" s="1">
        <f>=HYPERLINK("10.175.1.14\MWEB.12\BT\FlameGraph.BT.10.175.1.14.MWEB.12.-inet-siryo.163.svg", "&lt;FlGraph&gt;")</f>
      </c>
      <c r="Z54" s="1">
        <f>=HYPERLINK("10.175.1.14\MWEB.12\BT\FlameChart.BT.10.175.1.14.MWEB.12.-inet-siryo.163.svg", "&lt;FlChart&gt;")</f>
      </c>
      <c r="AA54" s="0" t="s">
        <v>107</v>
      </c>
      <c r="AB54" s="0" t="s">
        <v>108</v>
      </c>
      <c r="AC54" s="0" t="s">
        <v>126</v>
      </c>
      <c r="AD54" s="0" t="s">
        <v>310</v>
      </c>
      <c r="AE54" s="0" t="s">
        <v>109</v>
      </c>
    </row>
    <row r="55">
      <c r="A55" s="0" t="s">
        <v>28</v>
      </c>
      <c r="B55" s="0" t="s">
        <v>30</v>
      </c>
      <c r="C55" s="0" t="s">
        <v>125</v>
      </c>
      <c r="D55" s="0" t="s">
        <v>311</v>
      </c>
      <c r="E55" s="0" t="s">
        <v>229</v>
      </c>
      <c r="F55" s="0">
        <v>0</v>
      </c>
      <c r="G55" s="0" t="s">
        <v>106</v>
      </c>
      <c r="H55" s="0">
        <v>0</v>
      </c>
      <c r="I55" s="0">
        <v>0</v>
      </c>
      <c r="J55" s="0">
        <v>0</v>
      </c>
      <c r="K55" s="0">
        <v>0</v>
      </c>
      <c r="L55" s="0">
        <v>0</v>
      </c>
      <c r="M55" s="0">
        <v>0</v>
      </c>
      <c r="N55" s="0" t="b">
        <v>0</v>
      </c>
      <c r="O55" s="2">
        <v>44613.583333333336</v>
      </c>
      <c r="P55" s="2">
        <v>44613.625</v>
      </c>
      <c r="Q55" s="2">
        <v>44613.208333333336</v>
      </c>
      <c r="R55" s="2">
        <v>44613.25</v>
      </c>
      <c r="S55" s="0">
        <v>60</v>
      </c>
      <c r="T55" s="0">
        <v>12</v>
      </c>
      <c r="U55" s="0">
        <v>42</v>
      </c>
      <c r="V55" s="0">
        <v>161</v>
      </c>
      <c r="W55" s="1">
        <f>=HYPERLINK("10.175.1.14\MWEB.12\BT\EntityDetails.10.175.1.14.MWEB.12.-inet-toto.161.xlsx", "&lt;Detail&gt;")</f>
      </c>
      <c r="X55" s="1">
        <f>=HYPERLINK("10.175.1.14\MWEB.12\BT\MetricGraphs.BT.10.175.1.14.MWEB.12.xlsx", "&lt;Metrics&gt;")</f>
      </c>
      <c r="Y55" s="1">
        <f>=HYPERLINK("10.175.1.14\MWEB.12\BT\FlameGraph.BT.10.175.1.14.MWEB.12.-inet-toto.161.svg", "&lt;FlGraph&gt;")</f>
      </c>
      <c r="Z55" s="1">
        <f>=HYPERLINK("10.175.1.14\MWEB.12\BT\FlameChart.BT.10.175.1.14.MWEB.12.-inet-toto.161.svg", "&lt;FlChart&gt;")</f>
      </c>
      <c r="AA55" s="0" t="s">
        <v>107</v>
      </c>
      <c r="AB55" s="0" t="s">
        <v>108</v>
      </c>
      <c r="AC55" s="0" t="s">
        <v>126</v>
      </c>
      <c r="AD55" s="0" t="s">
        <v>312</v>
      </c>
      <c r="AE55" s="0" t="s">
        <v>109</v>
      </c>
    </row>
    <row r="56">
      <c r="A56" s="0" t="s">
        <v>28</v>
      </c>
      <c r="B56" s="0" t="s">
        <v>30</v>
      </c>
      <c r="C56" s="0" t="s">
        <v>125</v>
      </c>
      <c r="D56" s="0" t="s">
        <v>313</v>
      </c>
      <c r="E56" s="0" t="s">
        <v>229</v>
      </c>
      <c r="F56" s="0">
        <v>0</v>
      </c>
      <c r="G56" s="0" t="s">
        <v>106</v>
      </c>
      <c r="H56" s="0">
        <v>0</v>
      </c>
      <c r="I56" s="0">
        <v>0</v>
      </c>
      <c r="J56" s="0">
        <v>0</v>
      </c>
      <c r="K56" s="0">
        <v>0</v>
      </c>
      <c r="L56" s="0">
        <v>0</v>
      </c>
      <c r="M56" s="0">
        <v>0</v>
      </c>
      <c r="N56" s="0" t="b">
        <v>0</v>
      </c>
      <c r="O56" s="2">
        <v>44613.583333333336</v>
      </c>
      <c r="P56" s="2">
        <v>44613.625</v>
      </c>
      <c r="Q56" s="2">
        <v>44613.208333333336</v>
      </c>
      <c r="R56" s="2">
        <v>44613.25</v>
      </c>
      <c r="S56" s="0">
        <v>60</v>
      </c>
      <c r="T56" s="0">
        <v>12</v>
      </c>
      <c r="U56" s="0">
        <v>42</v>
      </c>
      <c r="V56" s="0">
        <v>162</v>
      </c>
      <c r="W56" s="1">
        <f>=HYPERLINK("10.175.1.14\MWEB.12\BT\EntityDetails.10.175.1.14.MWEB.12.-inet-TotoSi.162.xlsx", "&lt;Detail&gt;")</f>
      </c>
      <c r="X56" s="1">
        <f>=HYPERLINK("10.175.1.14\MWEB.12\BT\MetricGraphs.BT.10.175.1.14.MWEB.12.xlsx", "&lt;Metrics&gt;")</f>
      </c>
      <c r="Y56" s="1">
        <f>=HYPERLINK("10.175.1.14\MWEB.12\BT\FlameGraph.BT.10.175.1.14.MWEB.12.-inet-TotoSi.162.svg", "&lt;FlGraph&gt;")</f>
      </c>
      <c r="Z56" s="1">
        <f>=HYPERLINK("10.175.1.14\MWEB.12\BT\FlameChart.BT.10.175.1.14.MWEB.12.-inet-TotoSi.162.svg", "&lt;FlChart&gt;")</f>
      </c>
      <c r="AA56" s="0" t="s">
        <v>107</v>
      </c>
      <c r="AB56" s="0" t="s">
        <v>108</v>
      </c>
      <c r="AC56" s="0" t="s">
        <v>126</v>
      </c>
      <c r="AD56" s="0" t="s">
        <v>314</v>
      </c>
      <c r="AE56" s="0" t="s">
        <v>109</v>
      </c>
    </row>
    <row r="57">
      <c r="A57" s="0" t="s">
        <v>28</v>
      </c>
      <c r="B57" s="0" t="s">
        <v>30</v>
      </c>
      <c r="C57" s="0" t="s">
        <v>125</v>
      </c>
      <c r="D57" s="0" t="s">
        <v>315</v>
      </c>
      <c r="E57" s="0" t="s">
        <v>229</v>
      </c>
      <c r="F57" s="0">
        <v>0</v>
      </c>
      <c r="G57" s="0" t="s">
        <v>106</v>
      </c>
      <c r="H57" s="0">
        <v>0</v>
      </c>
      <c r="I57" s="0">
        <v>0</v>
      </c>
      <c r="J57" s="0">
        <v>0</v>
      </c>
      <c r="K57" s="0">
        <v>0</v>
      </c>
      <c r="L57" s="0">
        <v>0</v>
      </c>
      <c r="M57" s="0">
        <v>0</v>
      </c>
      <c r="N57" s="0" t="b">
        <v>0</v>
      </c>
      <c r="O57" s="2">
        <v>44613.583333333336</v>
      </c>
      <c r="P57" s="2">
        <v>44613.625</v>
      </c>
      <c r="Q57" s="2">
        <v>44613.208333333336</v>
      </c>
      <c r="R57" s="2">
        <v>44613.25</v>
      </c>
      <c r="S57" s="0">
        <v>60</v>
      </c>
      <c r="T57" s="0">
        <v>12</v>
      </c>
      <c r="U57" s="0">
        <v>42</v>
      </c>
      <c r="V57" s="0">
        <v>439</v>
      </c>
      <c r="W57" s="1">
        <f>=HYPERLINK("10.175.1.14\MWEB.12\BT\EntityDetails.10.175.1.14.MWEB.12.-intruvert-j.439.xlsx", "&lt;Detail&gt;")</f>
      </c>
      <c r="X57" s="1">
        <f>=HYPERLINK("10.175.1.14\MWEB.12\BT\MetricGraphs.BT.10.175.1.14.MWEB.12.xlsx", "&lt;Metrics&gt;")</f>
      </c>
      <c r="Y57" s="1">
        <f>=HYPERLINK("10.175.1.14\MWEB.12\BT\FlameGraph.BT.10.175.1.14.MWEB.12.-intruvert-j.439.svg", "&lt;FlGraph&gt;")</f>
      </c>
      <c r="Z57" s="1">
        <f>=HYPERLINK("10.175.1.14\MWEB.12\BT\FlameChart.BT.10.175.1.14.MWEB.12.-intruvert-j.439.svg", "&lt;FlChart&gt;")</f>
      </c>
      <c r="AA57" s="0" t="s">
        <v>107</v>
      </c>
      <c r="AB57" s="0" t="s">
        <v>108</v>
      </c>
      <c r="AC57" s="0" t="s">
        <v>126</v>
      </c>
      <c r="AD57" s="0" t="s">
        <v>316</v>
      </c>
      <c r="AE57" s="0" t="s">
        <v>109</v>
      </c>
    </row>
    <row r="58">
      <c r="A58" s="0" t="s">
        <v>28</v>
      </c>
      <c r="B58" s="0" t="s">
        <v>30</v>
      </c>
      <c r="C58" s="0" t="s">
        <v>125</v>
      </c>
      <c r="D58" s="0" t="s">
        <v>317</v>
      </c>
      <c r="E58" s="0" t="s">
        <v>229</v>
      </c>
      <c r="F58" s="0">
        <v>0</v>
      </c>
      <c r="G58" s="0" t="s">
        <v>106</v>
      </c>
      <c r="H58" s="0">
        <v>0</v>
      </c>
      <c r="I58" s="0">
        <v>0</v>
      </c>
      <c r="J58" s="0">
        <v>0</v>
      </c>
      <c r="K58" s="0">
        <v>0</v>
      </c>
      <c r="L58" s="0">
        <v>0</v>
      </c>
      <c r="M58" s="0">
        <v>0</v>
      </c>
      <c r="N58" s="0" t="b">
        <v>0</v>
      </c>
      <c r="O58" s="2">
        <v>44613.583333333336</v>
      </c>
      <c r="P58" s="2">
        <v>44613.625</v>
      </c>
      <c r="Q58" s="2">
        <v>44613.208333333336</v>
      </c>
      <c r="R58" s="2">
        <v>44613.25</v>
      </c>
      <c r="S58" s="0">
        <v>60</v>
      </c>
      <c r="T58" s="0">
        <v>12</v>
      </c>
      <c r="U58" s="0">
        <v>42</v>
      </c>
      <c r="V58" s="0">
        <v>176</v>
      </c>
      <c r="W58" s="1">
        <f>=HYPERLINK("10.175.1.14\MWEB.12\BT\EntityDetails.10.175.1.14.MWEB.12.-IPJSETTLEME.176.xlsx", "&lt;Detail&gt;")</f>
      </c>
      <c r="X58" s="1">
        <f>=HYPERLINK("10.175.1.14\MWEB.12\BT\MetricGraphs.BT.10.175.1.14.MWEB.12.xlsx", "&lt;Metrics&gt;")</f>
      </c>
      <c r="Y58" s="1">
        <f>=HYPERLINK("10.175.1.14\MWEB.12\BT\FlameGraph.BT.10.175.1.14.MWEB.12.-IPJSETTLEME.176.svg", "&lt;FlGraph&gt;")</f>
      </c>
      <c r="Z58" s="1">
        <f>=HYPERLINK("10.175.1.14\MWEB.12\BT\FlameChart.BT.10.175.1.14.MWEB.12.-IPJSETTLEME.176.svg", "&lt;FlChart&gt;")</f>
      </c>
      <c r="AA58" s="0" t="s">
        <v>107</v>
      </c>
      <c r="AB58" s="0" t="s">
        <v>108</v>
      </c>
      <c r="AC58" s="0" t="s">
        <v>126</v>
      </c>
      <c r="AD58" s="0" t="s">
        <v>318</v>
      </c>
      <c r="AE58" s="0" t="s">
        <v>109</v>
      </c>
    </row>
    <row r="59">
      <c r="A59" s="0" t="s">
        <v>28</v>
      </c>
      <c r="B59" s="0" t="s">
        <v>30</v>
      </c>
      <c r="C59" s="0" t="s">
        <v>133</v>
      </c>
      <c r="D59" s="0" t="s">
        <v>317</v>
      </c>
      <c r="E59" s="0" t="s">
        <v>229</v>
      </c>
      <c r="F59" s="0">
        <v>0</v>
      </c>
      <c r="G59" s="0" t="s">
        <v>106</v>
      </c>
      <c r="H59" s="0">
        <v>0</v>
      </c>
      <c r="I59" s="0">
        <v>0</v>
      </c>
      <c r="J59" s="0">
        <v>0</v>
      </c>
      <c r="K59" s="0">
        <v>0</v>
      </c>
      <c r="L59" s="0">
        <v>0</v>
      </c>
      <c r="M59" s="0">
        <v>0</v>
      </c>
      <c r="N59" s="0" t="b">
        <v>0</v>
      </c>
      <c r="O59" s="2">
        <v>44613.583333333336</v>
      </c>
      <c r="P59" s="2">
        <v>44613.625</v>
      </c>
      <c r="Q59" s="2">
        <v>44613.208333333336</v>
      </c>
      <c r="R59" s="2">
        <v>44613.25</v>
      </c>
      <c r="S59" s="0">
        <v>60</v>
      </c>
      <c r="T59" s="0">
        <v>12</v>
      </c>
      <c r="U59" s="0">
        <v>36</v>
      </c>
      <c r="V59" s="0">
        <v>260</v>
      </c>
      <c r="W59" s="1">
        <f>=HYPERLINK("10.175.1.14\MWEB.12\BT\EntityDetails.10.175.1.14.MWEB.12.-IPJSETTLEME.260.xlsx", "&lt;Detail&gt;")</f>
      </c>
      <c r="X59" s="1">
        <f>=HYPERLINK("10.175.1.14\MWEB.12\BT\MetricGraphs.BT.10.175.1.14.MWEB.12.xlsx", "&lt;Metrics&gt;")</f>
      </c>
      <c r="Y59" s="1">
        <f>=HYPERLINK("10.175.1.14\MWEB.12\BT\FlameGraph.BT.10.175.1.14.MWEB.12.-IPJSETTLEME.260.svg", "&lt;FlGraph&gt;")</f>
      </c>
      <c r="Z59" s="1">
        <f>=HYPERLINK("10.175.1.14\MWEB.12\BT\FlameChart.BT.10.175.1.14.MWEB.12.-IPJSETTLEME.260.svg", "&lt;FlChart&gt;")</f>
      </c>
      <c r="AA59" s="0" t="s">
        <v>107</v>
      </c>
      <c r="AB59" s="0" t="s">
        <v>108</v>
      </c>
      <c r="AC59" s="0" t="s">
        <v>134</v>
      </c>
      <c r="AD59" s="0" t="s">
        <v>319</v>
      </c>
      <c r="AE59" s="0" t="s">
        <v>109</v>
      </c>
    </row>
    <row r="60">
      <c r="A60" s="0" t="s">
        <v>28</v>
      </c>
      <c r="B60" s="0" t="s">
        <v>30</v>
      </c>
      <c r="C60" s="0" t="s">
        <v>143</v>
      </c>
      <c r="D60" s="0" t="s">
        <v>317</v>
      </c>
      <c r="E60" s="0" t="s">
        <v>229</v>
      </c>
      <c r="F60" s="0">
        <v>0</v>
      </c>
      <c r="G60" s="0" t="s">
        <v>106</v>
      </c>
      <c r="H60" s="0">
        <v>0</v>
      </c>
      <c r="I60" s="0">
        <v>0</v>
      </c>
      <c r="J60" s="0">
        <v>0</v>
      </c>
      <c r="K60" s="0">
        <v>0</v>
      </c>
      <c r="L60" s="0">
        <v>0</v>
      </c>
      <c r="M60" s="0">
        <v>0</v>
      </c>
      <c r="N60" s="0" t="b">
        <v>0</v>
      </c>
      <c r="O60" s="2">
        <v>44613.583333333336</v>
      </c>
      <c r="P60" s="2">
        <v>44613.625</v>
      </c>
      <c r="Q60" s="2">
        <v>44613.208333333336</v>
      </c>
      <c r="R60" s="2">
        <v>44613.25</v>
      </c>
      <c r="S60" s="0">
        <v>60</v>
      </c>
      <c r="T60" s="0">
        <v>12</v>
      </c>
      <c r="U60" s="0">
        <v>43</v>
      </c>
      <c r="V60" s="0">
        <v>100</v>
      </c>
      <c r="W60" s="1">
        <f>=HYPERLINK("10.175.1.14\MWEB.12\BT\EntityDetails.10.175.1.14.MWEB.12.-IPJSETTLEME.100.xlsx", "&lt;Detail&gt;")</f>
      </c>
      <c r="X60" s="1">
        <f>=HYPERLINK("10.175.1.14\MWEB.12\BT\MetricGraphs.BT.10.175.1.14.MWEB.12.xlsx", "&lt;Metrics&gt;")</f>
      </c>
      <c r="Y60" s="1">
        <f>=HYPERLINK("10.175.1.14\MWEB.12\BT\FlameGraph.BT.10.175.1.14.MWEB.12.-IPJSETTLEME.100.svg", "&lt;FlGraph&gt;")</f>
      </c>
      <c r="Z60" s="1">
        <f>=HYPERLINK("10.175.1.14\MWEB.12\BT\FlameChart.BT.10.175.1.14.MWEB.12.-IPJSETTLEME.100.svg", "&lt;FlChart&gt;")</f>
      </c>
      <c r="AA60" s="0" t="s">
        <v>107</v>
      </c>
      <c r="AB60" s="0" t="s">
        <v>108</v>
      </c>
      <c r="AC60" s="0" t="s">
        <v>144</v>
      </c>
      <c r="AD60" s="0" t="s">
        <v>320</v>
      </c>
      <c r="AE60" s="0" t="s">
        <v>109</v>
      </c>
    </row>
    <row r="61">
      <c r="A61" s="0" t="s">
        <v>28</v>
      </c>
      <c r="B61" s="0" t="s">
        <v>30</v>
      </c>
      <c r="C61" s="0" t="s">
        <v>163</v>
      </c>
      <c r="D61" s="0" t="s">
        <v>317</v>
      </c>
      <c r="E61" s="0" t="s">
        <v>229</v>
      </c>
      <c r="F61" s="0">
        <v>0</v>
      </c>
      <c r="G61" s="0" t="s">
        <v>106</v>
      </c>
      <c r="H61" s="0">
        <v>0</v>
      </c>
      <c r="I61" s="0">
        <v>0</v>
      </c>
      <c r="J61" s="0">
        <v>0</v>
      </c>
      <c r="K61" s="0">
        <v>0</v>
      </c>
      <c r="L61" s="0">
        <v>0</v>
      </c>
      <c r="M61" s="0">
        <v>0</v>
      </c>
      <c r="N61" s="0" t="b">
        <v>0</v>
      </c>
      <c r="O61" s="2">
        <v>44613.583333333336</v>
      </c>
      <c r="P61" s="2">
        <v>44613.625</v>
      </c>
      <c r="Q61" s="2">
        <v>44613.208333333336</v>
      </c>
      <c r="R61" s="2">
        <v>44613.25</v>
      </c>
      <c r="S61" s="0">
        <v>60</v>
      </c>
      <c r="T61" s="0">
        <v>12</v>
      </c>
      <c r="U61" s="0">
        <v>55</v>
      </c>
      <c r="V61" s="0">
        <v>706</v>
      </c>
      <c r="W61" s="1">
        <f>=HYPERLINK("10.175.1.14\MWEB.12\BT\EntityDetails.10.175.1.14.MWEB.12.-IPJSETTLEME.706.xlsx", "&lt;Detail&gt;")</f>
      </c>
      <c r="X61" s="1">
        <f>=HYPERLINK("10.175.1.14\MWEB.12\BT\MetricGraphs.BT.10.175.1.14.MWEB.12.xlsx", "&lt;Metrics&gt;")</f>
      </c>
      <c r="Y61" s="1">
        <f>=HYPERLINK("10.175.1.14\MWEB.12\BT\FlameGraph.BT.10.175.1.14.MWEB.12.-IPJSETTLEME.706.svg", "&lt;FlGraph&gt;")</f>
      </c>
      <c r="Z61" s="1">
        <f>=HYPERLINK("10.175.1.14\MWEB.12\BT\FlameChart.BT.10.175.1.14.MWEB.12.-IPJSETTLEME.706.svg", "&lt;FlChart&gt;")</f>
      </c>
      <c r="AA61" s="0" t="s">
        <v>107</v>
      </c>
      <c r="AB61" s="0" t="s">
        <v>108</v>
      </c>
      <c r="AC61" s="0" t="s">
        <v>164</v>
      </c>
      <c r="AD61" s="0" t="s">
        <v>321</v>
      </c>
      <c r="AE61" s="0" t="s">
        <v>109</v>
      </c>
    </row>
    <row r="62">
      <c r="A62" s="0" t="s">
        <v>28</v>
      </c>
      <c r="B62" s="0" t="s">
        <v>30</v>
      </c>
      <c r="C62" s="0" t="s">
        <v>125</v>
      </c>
      <c r="D62" s="0" t="s">
        <v>322</v>
      </c>
      <c r="E62" s="0" t="s">
        <v>229</v>
      </c>
      <c r="F62" s="0">
        <v>0</v>
      </c>
      <c r="G62" s="0" t="s">
        <v>106</v>
      </c>
      <c r="H62" s="0">
        <v>0</v>
      </c>
      <c r="I62" s="0">
        <v>0</v>
      </c>
      <c r="J62" s="0">
        <v>0</v>
      </c>
      <c r="K62" s="0">
        <v>0</v>
      </c>
      <c r="L62" s="0">
        <v>0</v>
      </c>
      <c r="M62" s="0">
        <v>0</v>
      </c>
      <c r="N62" s="0" t="b">
        <v>0</v>
      </c>
      <c r="O62" s="2">
        <v>44613.583333333336</v>
      </c>
      <c r="P62" s="2">
        <v>44613.625</v>
      </c>
      <c r="Q62" s="2">
        <v>44613.208333333336</v>
      </c>
      <c r="R62" s="2">
        <v>44613.25</v>
      </c>
      <c r="S62" s="0">
        <v>60</v>
      </c>
      <c r="T62" s="0">
        <v>12</v>
      </c>
      <c r="U62" s="0">
        <v>42</v>
      </c>
      <c r="V62" s="0">
        <v>177</v>
      </c>
      <c r="W62" s="1">
        <f>=HYPERLINK("10.175.1.14\MWEB.12\BT\EntityDetails.10.175.1.14.MWEB.12.-JConnect-ac.177.xlsx", "&lt;Detail&gt;")</f>
      </c>
      <c r="X62" s="1">
        <f>=HYPERLINK("10.175.1.14\MWEB.12\BT\MetricGraphs.BT.10.175.1.14.MWEB.12.xlsx", "&lt;Metrics&gt;")</f>
      </c>
      <c r="Y62" s="1">
        <f>=HYPERLINK("10.175.1.14\MWEB.12\BT\FlameGraph.BT.10.175.1.14.MWEB.12.-JConnect-ac.177.svg", "&lt;FlGraph&gt;")</f>
      </c>
      <c r="Z62" s="1">
        <f>=HYPERLINK("10.175.1.14\MWEB.12\BT\FlameChart.BT.10.175.1.14.MWEB.12.-JConnect-ac.177.svg", "&lt;FlChart&gt;")</f>
      </c>
      <c r="AA62" s="0" t="s">
        <v>107</v>
      </c>
      <c r="AB62" s="0" t="s">
        <v>108</v>
      </c>
      <c r="AC62" s="0" t="s">
        <v>126</v>
      </c>
      <c r="AD62" s="0" t="s">
        <v>323</v>
      </c>
      <c r="AE62" s="0" t="s">
        <v>109</v>
      </c>
    </row>
    <row r="63">
      <c r="A63" s="0" t="s">
        <v>28</v>
      </c>
      <c r="B63" s="0" t="s">
        <v>30</v>
      </c>
      <c r="C63" s="0" t="s">
        <v>133</v>
      </c>
      <c r="D63" s="0" t="s">
        <v>322</v>
      </c>
      <c r="E63" s="0" t="s">
        <v>229</v>
      </c>
      <c r="F63" s="0">
        <v>0</v>
      </c>
      <c r="G63" s="0" t="s">
        <v>106</v>
      </c>
      <c r="H63" s="0">
        <v>0</v>
      </c>
      <c r="I63" s="0">
        <v>0</v>
      </c>
      <c r="J63" s="0">
        <v>0</v>
      </c>
      <c r="K63" s="0">
        <v>0</v>
      </c>
      <c r="L63" s="0">
        <v>0</v>
      </c>
      <c r="M63" s="0">
        <v>0</v>
      </c>
      <c r="N63" s="0" t="b">
        <v>0</v>
      </c>
      <c r="O63" s="2">
        <v>44613.583333333336</v>
      </c>
      <c r="P63" s="2">
        <v>44613.625</v>
      </c>
      <c r="Q63" s="2">
        <v>44613.208333333336</v>
      </c>
      <c r="R63" s="2">
        <v>44613.25</v>
      </c>
      <c r="S63" s="0">
        <v>60</v>
      </c>
      <c r="T63" s="0">
        <v>12</v>
      </c>
      <c r="U63" s="0">
        <v>36</v>
      </c>
      <c r="V63" s="0">
        <v>263</v>
      </c>
      <c r="W63" s="1">
        <f>=HYPERLINK("10.175.1.14\MWEB.12\BT\EntityDetails.10.175.1.14.MWEB.12.-JConnect-ac.263.xlsx", "&lt;Detail&gt;")</f>
      </c>
      <c r="X63" s="1">
        <f>=HYPERLINK("10.175.1.14\MWEB.12\BT\MetricGraphs.BT.10.175.1.14.MWEB.12.xlsx", "&lt;Metrics&gt;")</f>
      </c>
      <c r="Y63" s="1">
        <f>=HYPERLINK("10.175.1.14\MWEB.12\BT\FlameGraph.BT.10.175.1.14.MWEB.12.-JConnect-ac.263.svg", "&lt;FlGraph&gt;")</f>
      </c>
      <c r="Z63" s="1">
        <f>=HYPERLINK("10.175.1.14\MWEB.12\BT\FlameChart.BT.10.175.1.14.MWEB.12.-JConnect-ac.263.svg", "&lt;FlChart&gt;")</f>
      </c>
      <c r="AA63" s="0" t="s">
        <v>107</v>
      </c>
      <c r="AB63" s="0" t="s">
        <v>108</v>
      </c>
      <c r="AC63" s="0" t="s">
        <v>134</v>
      </c>
      <c r="AD63" s="0" t="s">
        <v>324</v>
      </c>
      <c r="AE63" s="0" t="s">
        <v>109</v>
      </c>
    </row>
    <row r="64">
      <c r="A64" s="0" t="s">
        <v>28</v>
      </c>
      <c r="B64" s="0" t="s">
        <v>30</v>
      </c>
      <c r="C64" s="0" t="s">
        <v>139</v>
      </c>
      <c r="D64" s="0" t="s">
        <v>325</v>
      </c>
      <c r="E64" s="0" t="s">
        <v>223</v>
      </c>
      <c r="F64" s="0">
        <v>0</v>
      </c>
      <c r="G64" s="0" t="s">
        <v>106</v>
      </c>
      <c r="H64" s="0">
        <v>0</v>
      </c>
      <c r="I64" s="0">
        <v>0</v>
      </c>
      <c r="J64" s="0">
        <v>0</v>
      </c>
      <c r="K64" s="0">
        <v>0</v>
      </c>
      <c r="L64" s="0">
        <v>0</v>
      </c>
      <c r="M64" s="0">
        <v>0</v>
      </c>
      <c r="N64" s="0" t="b">
        <v>0</v>
      </c>
      <c r="O64" s="2">
        <v>44613.583333333336</v>
      </c>
      <c r="P64" s="2">
        <v>44613.625</v>
      </c>
      <c r="Q64" s="2">
        <v>44613.208333333336</v>
      </c>
      <c r="R64" s="2">
        <v>44613.25</v>
      </c>
      <c r="S64" s="0">
        <v>60</v>
      </c>
      <c r="T64" s="0">
        <v>12</v>
      </c>
      <c r="U64" s="0">
        <v>35</v>
      </c>
      <c r="V64" s="0">
        <v>442</v>
      </c>
      <c r="W64" s="1">
        <f>=HYPERLINK("10.175.1.14\MWEB.12\BT\EntityDetails.10.175.1.14.MWEB.12.-login.html.442.xlsx", "&lt;Detail&gt;")</f>
      </c>
      <c r="X64" s="1">
        <f>=HYPERLINK("10.175.1.14\MWEB.12\BT\MetricGraphs.BT.10.175.1.14.MWEB.12.xlsx", "&lt;Metrics&gt;")</f>
      </c>
      <c r="Y64" s="1">
        <f>=HYPERLINK("10.175.1.14\MWEB.12\BT\FlameGraph.BT.10.175.1.14.MWEB.12.-login.html.442.svg", "&lt;FlGraph&gt;")</f>
      </c>
      <c r="Z64" s="1">
        <f>=HYPERLINK("10.175.1.14\MWEB.12\BT\FlameChart.BT.10.175.1.14.MWEB.12.-login.html.442.svg", "&lt;FlChart&gt;")</f>
      </c>
      <c r="AA64" s="0" t="s">
        <v>107</v>
      </c>
      <c r="AB64" s="0" t="s">
        <v>108</v>
      </c>
      <c r="AC64" s="0" t="s">
        <v>142</v>
      </c>
      <c r="AD64" s="0" t="s">
        <v>326</v>
      </c>
      <c r="AE64" s="0" t="s">
        <v>109</v>
      </c>
    </row>
    <row r="65">
      <c r="A65" s="0" t="s">
        <v>28</v>
      </c>
      <c r="B65" s="0" t="s">
        <v>30</v>
      </c>
      <c r="C65" s="0" t="s">
        <v>125</v>
      </c>
      <c r="D65" s="0" t="s">
        <v>327</v>
      </c>
      <c r="E65" s="0" t="s">
        <v>229</v>
      </c>
      <c r="F65" s="0">
        <v>0</v>
      </c>
      <c r="G65" s="0" t="s">
        <v>106</v>
      </c>
      <c r="H65" s="0">
        <v>0</v>
      </c>
      <c r="I65" s="0">
        <v>0</v>
      </c>
      <c r="J65" s="0">
        <v>0</v>
      </c>
      <c r="K65" s="0">
        <v>0</v>
      </c>
      <c r="L65" s="0">
        <v>0</v>
      </c>
      <c r="M65" s="0">
        <v>0</v>
      </c>
      <c r="N65" s="0" t="b">
        <v>0</v>
      </c>
      <c r="O65" s="2">
        <v>44613.583333333336</v>
      </c>
      <c r="P65" s="2">
        <v>44613.625</v>
      </c>
      <c r="Q65" s="2">
        <v>44613.208333333336</v>
      </c>
      <c r="R65" s="2">
        <v>44613.25</v>
      </c>
      <c r="S65" s="0">
        <v>60</v>
      </c>
      <c r="T65" s="0">
        <v>12</v>
      </c>
      <c r="U65" s="0">
        <v>42</v>
      </c>
      <c r="V65" s="0">
        <v>137</v>
      </c>
      <c r="W65" s="1">
        <f>=HYPERLINK("10.175.1.14\MWEB.12\BT\EntityDetails.10.175.1.14.MWEB.12.-management-.137.xlsx", "&lt;Detail&gt;")</f>
      </c>
      <c r="X65" s="1">
        <f>=HYPERLINK("10.175.1.14\MWEB.12\BT\MetricGraphs.BT.10.175.1.14.MWEB.12.xlsx", "&lt;Metrics&gt;")</f>
      </c>
      <c r="Y65" s="1">
        <f>=HYPERLINK("10.175.1.14\MWEB.12\BT\FlameGraph.BT.10.175.1.14.MWEB.12.-management-.137.svg", "&lt;FlGraph&gt;")</f>
      </c>
      <c r="Z65" s="1">
        <f>=HYPERLINK("10.175.1.14\MWEB.12\BT\FlameChart.BT.10.175.1.14.MWEB.12.-management-.137.svg", "&lt;FlChart&gt;")</f>
      </c>
      <c r="AA65" s="0" t="s">
        <v>107</v>
      </c>
      <c r="AB65" s="0" t="s">
        <v>108</v>
      </c>
      <c r="AC65" s="0" t="s">
        <v>126</v>
      </c>
      <c r="AD65" s="0" t="s">
        <v>328</v>
      </c>
      <c r="AE65" s="0" t="s">
        <v>109</v>
      </c>
    </row>
    <row r="66">
      <c r="A66" s="0" t="s">
        <v>28</v>
      </c>
      <c r="B66" s="0" t="s">
        <v>30</v>
      </c>
      <c r="C66" s="0" t="s">
        <v>127</v>
      </c>
      <c r="D66" s="0" t="s">
        <v>327</v>
      </c>
      <c r="E66" s="0" t="s">
        <v>229</v>
      </c>
      <c r="F66" s="0">
        <v>0</v>
      </c>
      <c r="G66" s="0" t="s">
        <v>106</v>
      </c>
      <c r="H66" s="0">
        <v>0</v>
      </c>
      <c r="I66" s="0">
        <v>0</v>
      </c>
      <c r="J66" s="0">
        <v>0</v>
      </c>
      <c r="K66" s="0">
        <v>0</v>
      </c>
      <c r="L66" s="0">
        <v>0</v>
      </c>
      <c r="M66" s="0">
        <v>0</v>
      </c>
      <c r="N66" s="0" t="b">
        <v>0</v>
      </c>
      <c r="O66" s="2">
        <v>44613.583333333336</v>
      </c>
      <c r="P66" s="2">
        <v>44613.625</v>
      </c>
      <c r="Q66" s="2">
        <v>44613.208333333336</v>
      </c>
      <c r="R66" s="2">
        <v>44613.25</v>
      </c>
      <c r="S66" s="0">
        <v>60</v>
      </c>
      <c r="T66" s="0">
        <v>12</v>
      </c>
      <c r="U66" s="0">
        <v>39</v>
      </c>
      <c r="V66" s="0">
        <v>107</v>
      </c>
      <c r="W66" s="1">
        <f>=HYPERLINK("10.175.1.14\MWEB.12\BT\EntityDetails.10.175.1.14.MWEB.12.-management-.107.xlsx", "&lt;Detail&gt;")</f>
      </c>
      <c r="X66" s="1">
        <f>=HYPERLINK("10.175.1.14\MWEB.12\BT\MetricGraphs.BT.10.175.1.14.MWEB.12.xlsx", "&lt;Metrics&gt;")</f>
      </c>
      <c r="Y66" s="1">
        <f>=HYPERLINK("10.175.1.14\MWEB.12\BT\FlameGraph.BT.10.175.1.14.MWEB.12.-management-.107.svg", "&lt;FlGraph&gt;")</f>
      </c>
      <c r="Z66" s="1">
        <f>=HYPERLINK("10.175.1.14\MWEB.12\BT\FlameChart.BT.10.175.1.14.MWEB.12.-management-.107.svg", "&lt;FlChart&gt;")</f>
      </c>
      <c r="AA66" s="0" t="s">
        <v>107</v>
      </c>
      <c r="AB66" s="0" t="s">
        <v>108</v>
      </c>
      <c r="AC66" s="0" t="s">
        <v>128</v>
      </c>
      <c r="AD66" s="0" t="s">
        <v>329</v>
      </c>
      <c r="AE66" s="0" t="s">
        <v>109</v>
      </c>
    </row>
    <row r="67">
      <c r="A67" s="0" t="s">
        <v>28</v>
      </c>
      <c r="B67" s="0" t="s">
        <v>30</v>
      </c>
      <c r="C67" s="0" t="s">
        <v>129</v>
      </c>
      <c r="D67" s="0" t="s">
        <v>327</v>
      </c>
      <c r="E67" s="0" t="s">
        <v>229</v>
      </c>
      <c r="F67" s="0">
        <v>0</v>
      </c>
      <c r="G67" s="0" t="s">
        <v>106</v>
      </c>
      <c r="H67" s="0">
        <v>0</v>
      </c>
      <c r="I67" s="0">
        <v>0</v>
      </c>
      <c r="J67" s="0">
        <v>0</v>
      </c>
      <c r="K67" s="0">
        <v>0</v>
      </c>
      <c r="L67" s="0">
        <v>0</v>
      </c>
      <c r="M67" s="0">
        <v>0</v>
      </c>
      <c r="N67" s="0" t="b">
        <v>0</v>
      </c>
      <c r="O67" s="2">
        <v>44613.583333333336</v>
      </c>
      <c r="P67" s="2">
        <v>44613.625</v>
      </c>
      <c r="Q67" s="2">
        <v>44613.208333333336</v>
      </c>
      <c r="R67" s="2">
        <v>44613.25</v>
      </c>
      <c r="S67" s="0">
        <v>60</v>
      </c>
      <c r="T67" s="0">
        <v>12</v>
      </c>
      <c r="U67" s="0">
        <v>41</v>
      </c>
      <c r="V67" s="0">
        <v>229</v>
      </c>
      <c r="W67" s="1">
        <f>=HYPERLINK("10.175.1.14\MWEB.12\BT\EntityDetails.10.175.1.14.MWEB.12.-management-.229.xlsx", "&lt;Detail&gt;")</f>
      </c>
      <c r="X67" s="1">
        <f>=HYPERLINK("10.175.1.14\MWEB.12\BT\MetricGraphs.BT.10.175.1.14.MWEB.12.xlsx", "&lt;Metrics&gt;")</f>
      </c>
      <c r="Y67" s="1">
        <f>=HYPERLINK("10.175.1.14\MWEB.12\BT\FlameGraph.BT.10.175.1.14.MWEB.12.-management-.229.svg", "&lt;FlGraph&gt;")</f>
      </c>
      <c r="Z67" s="1">
        <f>=HYPERLINK("10.175.1.14\MWEB.12\BT\FlameChart.BT.10.175.1.14.MWEB.12.-management-.229.svg", "&lt;FlChart&gt;")</f>
      </c>
      <c r="AA67" s="0" t="s">
        <v>107</v>
      </c>
      <c r="AB67" s="0" t="s">
        <v>108</v>
      </c>
      <c r="AC67" s="0" t="s">
        <v>130</v>
      </c>
      <c r="AD67" s="0" t="s">
        <v>330</v>
      </c>
      <c r="AE67" s="0" t="s">
        <v>109</v>
      </c>
    </row>
    <row r="68">
      <c r="A68" s="0" t="s">
        <v>28</v>
      </c>
      <c r="B68" s="0" t="s">
        <v>30</v>
      </c>
      <c r="C68" s="0" t="s">
        <v>131</v>
      </c>
      <c r="D68" s="0" t="s">
        <v>327</v>
      </c>
      <c r="E68" s="0" t="s">
        <v>229</v>
      </c>
      <c r="F68" s="0">
        <v>0</v>
      </c>
      <c r="G68" s="0" t="s">
        <v>106</v>
      </c>
      <c r="H68" s="0">
        <v>0</v>
      </c>
      <c r="I68" s="0">
        <v>0</v>
      </c>
      <c r="J68" s="0">
        <v>0</v>
      </c>
      <c r="K68" s="0">
        <v>0</v>
      </c>
      <c r="L68" s="0">
        <v>0</v>
      </c>
      <c r="M68" s="0">
        <v>0</v>
      </c>
      <c r="N68" s="0" t="b">
        <v>0</v>
      </c>
      <c r="O68" s="2">
        <v>44613.583333333336</v>
      </c>
      <c r="P68" s="2">
        <v>44613.625</v>
      </c>
      <c r="Q68" s="2">
        <v>44613.208333333336</v>
      </c>
      <c r="R68" s="2">
        <v>44613.25</v>
      </c>
      <c r="S68" s="0">
        <v>60</v>
      </c>
      <c r="T68" s="0">
        <v>12</v>
      </c>
      <c r="U68" s="0">
        <v>40</v>
      </c>
      <c r="V68" s="0">
        <v>233</v>
      </c>
      <c r="W68" s="1">
        <f>=HYPERLINK("10.175.1.14\MWEB.12\BT\EntityDetails.10.175.1.14.MWEB.12.-management-.233.xlsx", "&lt;Detail&gt;")</f>
      </c>
      <c r="X68" s="1">
        <f>=HYPERLINK("10.175.1.14\MWEB.12\BT\MetricGraphs.BT.10.175.1.14.MWEB.12.xlsx", "&lt;Metrics&gt;")</f>
      </c>
      <c r="Y68" s="1">
        <f>=HYPERLINK("10.175.1.14\MWEB.12\BT\FlameGraph.BT.10.175.1.14.MWEB.12.-management-.233.svg", "&lt;FlGraph&gt;")</f>
      </c>
      <c r="Z68" s="1">
        <f>=HYPERLINK("10.175.1.14\MWEB.12\BT\FlameChart.BT.10.175.1.14.MWEB.12.-management-.233.svg", "&lt;FlChart&gt;")</f>
      </c>
      <c r="AA68" s="0" t="s">
        <v>107</v>
      </c>
      <c r="AB68" s="0" t="s">
        <v>108</v>
      </c>
      <c r="AC68" s="0" t="s">
        <v>132</v>
      </c>
      <c r="AD68" s="0" t="s">
        <v>331</v>
      </c>
      <c r="AE68" s="0" t="s">
        <v>109</v>
      </c>
    </row>
    <row r="69">
      <c r="A69" s="0" t="s">
        <v>28</v>
      </c>
      <c r="B69" s="0" t="s">
        <v>30</v>
      </c>
      <c r="C69" s="0" t="s">
        <v>133</v>
      </c>
      <c r="D69" s="0" t="s">
        <v>327</v>
      </c>
      <c r="E69" s="0" t="s">
        <v>229</v>
      </c>
      <c r="F69" s="0">
        <v>0</v>
      </c>
      <c r="G69" s="0" t="s">
        <v>106</v>
      </c>
      <c r="H69" s="0">
        <v>0</v>
      </c>
      <c r="I69" s="0">
        <v>0</v>
      </c>
      <c r="J69" s="0">
        <v>0</v>
      </c>
      <c r="K69" s="0">
        <v>0</v>
      </c>
      <c r="L69" s="0">
        <v>0</v>
      </c>
      <c r="M69" s="0">
        <v>0</v>
      </c>
      <c r="N69" s="0" t="b">
        <v>0</v>
      </c>
      <c r="O69" s="2">
        <v>44613.583333333336</v>
      </c>
      <c r="P69" s="2">
        <v>44613.625</v>
      </c>
      <c r="Q69" s="2">
        <v>44613.208333333336</v>
      </c>
      <c r="R69" s="2">
        <v>44613.25</v>
      </c>
      <c r="S69" s="0">
        <v>60</v>
      </c>
      <c r="T69" s="0">
        <v>12</v>
      </c>
      <c r="U69" s="0">
        <v>36</v>
      </c>
      <c r="V69" s="0">
        <v>145</v>
      </c>
      <c r="W69" s="1">
        <f>=HYPERLINK("10.175.1.14\MWEB.12\BT\EntityDetails.10.175.1.14.MWEB.12.-management-.145.xlsx", "&lt;Detail&gt;")</f>
      </c>
      <c r="X69" s="1">
        <f>=HYPERLINK("10.175.1.14\MWEB.12\BT\MetricGraphs.BT.10.175.1.14.MWEB.12.xlsx", "&lt;Metrics&gt;")</f>
      </c>
      <c r="Y69" s="1">
        <f>=HYPERLINK("10.175.1.14\MWEB.12\BT\FlameGraph.BT.10.175.1.14.MWEB.12.-management-.145.svg", "&lt;FlGraph&gt;")</f>
      </c>
      <c r="Z69" s="1">
        <f>=HYPERLINK("10.175.1.14\MWEB.12\BT\FlameChart.BT.10.175.1.14.MWEB.12.-management-.145.svg", "&lt;FlChart&gt;")</f>
      </c>
      <c r="AA69" s="0" t="s">
        <v>107</v>
      </c>
      <c r="AB69" s="0" t="s">
        <v>108</v>
      </c>
      <c r="AC69" s="0" t="s">
        <v>134</v>
      </c>
      <c r="AD69" s="0" t="s">
        <v>332</v>
      </c>
      <c r="AE69" s="0" t="s">
        <v>109</v>
      </c>
    </row>
    <row r="70">
      <c r="A70" s="0" t="s">
        <v>28</v>
      </c>
      <c r="B70" s="0" t="s">
        <v>30</v>
      </c>
      <c r="C70" s="0" t="s">
        <v>135</v>
      </c>
      <c r="D70" s="0" t="s">
        <v>327</v>
      </c>
      <c r="E70" s="0" t="s">
        <v>229</v>
      </c>
      <c r="F70" s="0">
        <v>0</v>
      </c>
      <c r="G70" s="0" t="s">
        <v>106</v>
      </c>
      <c r="H70" s="0">
        <v>0</v>
      </c>
      <c r="I70" s="0">
        <v>0</v>
      </c>
      <c r="J70" s="0">
        <v>0</v>
      </c>
      <c r="K70" s="0">
        <v>0</v>
      </c>
      <c r="L70" s="0">
        <v>0</v>
      </c>
      <c r="M70" s="0">
        <v>0</v>
      </c>
      <c r="N70" s="0" t="b">
        <v>0</v>
      </c>
      <c r="O70" s="2">
        <v>44613.583333333336</v>
      </c>
      <c r="P70" s="2">
        <v>44613.625</v>
      </c>
      <c r="Q70" s="2">
        <v>44613.208333333336</v>
      </c>
      <c r="R70" s="2">
        <v>44613.25</v>
      </c>
      <c r="S70" s="0">
        <v>60</v>
      </c>
      <c r="T70" s="0">
        <v>12</v>
      </c>
      <c r="U70" s="0">
        <v>37</v>
      </c>
      <c r="V70" s="0">
        <v>195</v>
      </c>
      <c r="W70" s="1">
        <f>=HYPERLINK("10.175.1.14\MWEB.12\BT\EntityDetails.10.175.1.14.MWEB.12.-management-.195.xlsx", "&lt;Detail&gt;")</f>
      </c>
      <c r="X70" s="1">
        <f>=HYPERLINK("10.175.1.14\MWEB.12\BT\MetricGraphs.BT.10.175.1.14.MWEB.12.xlsx", "&lt;Metrics&gt;")</f>
      </c>
      <c r="Y70" s="1">
        <f>=HYPERLINK("10.175.1.14\MWEB.12\BT\FlameGraph.BT.10.175.1.14.MWEB.12.-management-.195.svg", "&lt;FlGraph&gt;")</f>
      </c>
      <c r="Z70" s="1">
        <f>=HYPERLINK("10.175.1.14\MWEB.12\BT\FlameChart.BT.10.175.1.14.MWEB.12.-management-.195.svg", "&lt;FlChart&gt;")</f>
      </c>
      <c r="AA70" s="0" t="s">
        <v>107</v>
      </c>
      <c r="AB70" s="0" t="s">
        <v>108</v>
      </c>
      <c r="AC70" s="0" t="s">
        <v>136</v>
      </c>
      <c r="AD70" s="0" t="s">
        <v>333</v>
      </c>
      <c r="AE70" s="0" t="s">
        <v>109</v>
      </c>
    </row>
    <row r="71">
      <c r="A71" s="0" t="s">
        <v>28</v>
      </c>
      <c r="B71" s="0" t="s">
        <v>30</v>
      </c>
      <c r="C71" s="0" t="s">
        <v>137</v>
      </c>
      <c r="D71" s="0" t="s">
        <v>327</v>
      </c>
      <c r="E71" s="0" t="s">
        <v>229</v>
      </c>
      <c r="F71" s="0">
        <v>0</v>
      </c>
      <c r="G71" s="0" t="s">
        <v>106</v>
      </c>
      <c r="H71" s="0">
        <v>0</v>
      </c>
      <c r="I71" s="0">
        <v>0</v>
      </c>
      <c r="J71" s="0">
        <v>0</v>
      </c>
      <c r="K71" s="0">
        <v>0</v>
      </c>
      <c r="L71" s="0">
        <v>0</v>
      </c>
      <c r="M71" s="0">
        <v>0</v>
      </c>
      <c r="N71" s="0" t="b">
        <v>0</v>
      </c>
      <c r="O71" s="2">
        <v>44613.583333333336</v>
      </c>
      <c r="P71" s="2">
        <v>44613.625</v>
      </c>
      <c r="Q71" s="2">
        <v>44613.208333333336</v>
      </c>
      <c r="R71" s="2">
        <v>44613.25</v>
      </c>
      <c r="S71" s="0">
        <v>60</v>
      </c>
      <c r="T71" s="0">
        <v>12</v>
      </c>
      <c r="U71" s="0">
        <v>38</v>
      </c>
      <c r="V71" s="0">
        <v>196</v>
      </c>
      <c r="W71" s="1">
        <f>=HYPERLINK("10.175.1.14\MWEB.12\BT\EntityDetails.10.175.1.14.MWEB.12.-management-.196.xlsx", "&lt;Detail&gt;")</f>
      </c>
      <c r="X71" s="1">
        <f>=HYPERLINK("10.175.1.14\MWEB.12\BT\MetricGraphs.BT.10.175.1.14.MWEB.12.xlsx", "&lt;Metrics&gt;")</f>
      </c>
      <c r="Y71" s="1">
        <f>=HYPERLINK("10.175.1.14\MWEB.12\BT\FlameGraph.BT.10.175.1.14.MWEB.12.-management-.196.svg", "&lt;FlGraph&gt;")</f>
      </c>
      <c r="Z71" s="1">
        <f>=HYPERLINK("10.175.1.14\MWEB.12\BT\FlameChart.BT.10.175.1.14.MWEB.12.-management-.196.svg", "&lt;FlChart&gt;")</f>
      </c>
      <c r="AA71" s="0" t="s">
        <v>107</v>
      </c>
      <c r="AB71" s="0" t="s">
        <v>108</v>
      </c>
      <c r="AC71" s="0" t="s">
        <v>138</v>
      </c>
      <c r="AD71" s="0" t="s">
        <v>334</v>
      </c>
      <c r="AE71" s="0" t="s">
        <v>109</v>
      </c>
    </row>
    <row r="72">
      <c r="A72" s="0" t="s">
        <v>28</v>
      </c>
      <c r="B72" s="0" t="s">
        <v>30</v>
      </c>
      <c r="C72" s="0" t="s">
        <v>133</v>
      </c>
      <c r="D72" s="0" t="s">
        <v>335</v>
      </c>
      <c r="E72" s="0" t="s">
        <v>229</v>
      </c>
      <c r="F72" s="0">
        <v>0</v>
      </c>
      <c r="G72" s="0" t="s">
        <v>106</v>
      </c>
      <c r="H72" s="0">
        <v>0</v>
      </c>
      <c r="I72" s="0">
        <v>0</v>
      </c>
      <c r="J72" s="0">
        <v>0</v>
      </c>
      <c r="K72" s="0">
        <v>0</v>
      </c>
      <c r="L72" s="0">
        <v>0</v>
      </c>
      <c r="M72" s="0">
        <v>0</v>
      </c>
      <c r="N72" s="0" t="b">
        <v>0</v>
      </c>
      <c r="O72" s="2">
        <v>44613.583333333336</v>
      </c>
      <c r="P72" s="2">
        <v>44613.625</v>
      </c>
      <c r="Q72" s="2">
        <v>44613.208333333336</v>
      </c>
      <c r="R72" s="2">
        <v>44613.25</v>
      </c>
      <c r="S72" s="0">
        <v>60</v>
      </c>
      <c r="T72" s="0">
        <v>12</v>
      </c>
      <c r="U72" s="0">
        <v>36</v>
      </c>
      <c r="V72" s="0">
        <v>173</v>
      </c>
      <c r="W72" s="1">
        <f>=HYPERLINK("10.175.1.14\MWEB.12\BT\EntityDetails.10.175.1.14.MWEB.12.-master-mana.173.xlsx", "&lt;Detail&gt;")</f>
      </c>
      <c r="X72" s="1">
        <f>=HYPERLINK("10.175.1.14\MWEB.12\BT\MetricGraphs.BT.10.175.1.14.MWEB.12.xlsx", "&lt;Metrics&gt;")</f>
      </c>
      <c r="Y72" s="1">
        <f>=HYPERLINK("10.175.1.14\MWEB.12\BT\FlameGraph.BT.10.175.1.14.MWEB.12.-master-mana.173.svg", "&lt;FlGraph&gt;")</f>
      </c>
      <c r="Z72" s="1">
        <f>=HYPERLINK("10.175.1.14\MWEB.12\BT\FlameChart.BT.10.175.1.14.MWEB.12.-master-mana.173.svg", "&lt;FlChart&gt;")</f>
      </c>
      <c r="AA72" s="0" t="s">
        <v>107</v>
      </c>
      <c r="AB72" s="0" t="s">
        <v>108</v>
      </c>
      <c r="AC72" s="0" t="s">
        <v>134</v>
      </c>
      <c r="AD72" s="0" t="s">
        <v>336</v>
      </c>
      <c r="AE72" s="0" t="s">
        <v>109</v>
      </c>
    </row>
    <row r="73">
      <c r="A73" s="0" t="s">
        <v>28</v>
      </c>
      <c r="B73" s="0" t="s">
        <v>30</v>
      </c>
      <c r="C73" s="0" t="s">
        <v>149</v>
      </c>
      <c r="D73" s="0" t="s">
        <v>337</v>
      </c>
      <c r="E73" s="0" t="s">
        <v>229</v>
      </c>
      <c r="F73" s="0">
        <v>0</v>
      </c>
      <c r="G73" s="0" t="s">
        <v>106</v>
      </c>
      <c r="H73" s="0">
        <v>0</v>
      </c>
      <c r="I73" s="0">
        <v>0</v>
      </c>
      <c r="J73" s="0">
        <v>0</v>
      </c>
      <c r="K73" s="0">
        <v>0</v>
      </c>
      <c r="L73" s="0">
        <v>0</v>
      </c>
      <c r="M73" s="0">
        <v>0</v>
      </c>
      <c r="N73" s="0" t="b">
        <v>0</v>
      </c>
      <c r="O73" s="2">
        <v>44613.583333333336</v>
      </c>
      <c r="P73" s="2">
        <v>44613.625</v>
      </c>
      <c r="Q73" s="2">
        <v>44613.208333333336</v>
      </c>
      <c r="R73" s="2">
        <v>44613.25</v>
      </c>
      <c r="S73" s="0">
        <v>60</v>
      </c>
      <c r="T73" s="0">
        <v>12</v>
      </c>
      <c r="U73" s="0">
        <v>50</v>
      </c>
      <c r="V73" s="0">
        <v>776</v>
      </c>
      <c r="W73" s="1">
        <f>=HYPERLINK("10.175.1.14\MWEB.12\BT\EntityDetails.10.175.1.14.MWEB.12.-modules-.776.xlsx", "&lt;Detail&gt;")</f>
      </c>
      <c r="X73" s="1">
        <f>=HYPERLINK("10.175.1.14\MWEB.12\BT\MetricGraphs.BT.10.175.1.14.MWEB.12.xlsx", "&lt;Metrics&gt;")</f>
      </c>
      <c r="Y73" s="1">
        <f>=HYPERLINK("10.175.1.14\MWEB.12\BT\FlameGraph.BT.10.175.1.14.MWEB.12.-modules-.776.svg", "&lt;FlGraph&gt;")</f>
      </c>
      <c r="Z73" s="1">
        <f>=HYPERLINK("10.175.1.14\MWEB.12\BT\FlameChart.BT.10.175.1.14.MWEB.12.-modules-.776.svg", "&lt;FlChart&gt;")</f>
      </c>
      <c r="AA73" s="0" t="s">
        <v>107</v>
      </c>
      <c r="AB73" s="0" t="s">
        <v>108</v>
      </c>
      <c r="AC73" s="0" t="s">
        <v>150</v>
      </c>
      <c r="AD73" s="0" t="s">
        <v>338</v>
      </c>
      <c r="AE73" s="0" t="s">
        <v>109</v>
      </c>
    </row>
    <row r="74">
      <c r="A74" s="0" t="s">
        <v>28</v>
      </c>
      <c r="B74" s="0" t="s">
        <v>30</v>
      </c>
      <c r="C74" s="0" t="s">
        <v>147</v>
      </c>
      <c r="D74" s="0" t="s">
        <v>339</v>
      </c>
      <c r="E74" s="0" t="s">
        <v>229</v>
      </c>
      <c r="F74" s="0">
        <v>0</v>
      </c>
      <c r="G74" s="0" t="s">
        <v>106</v>
      </c>
      <c r="H74" s="0">
        <v>0</v>
      </c>
      <c r="I74" s="0">
        <v>0</v>
      </c>
      <c r="J74" s="0">
        <v>0</v>
      </c>
      <c r="K74" s="0">
        <v>0</v>
      </c>
      <c r="L74" s="0">
        <v>0</v>
      </c>
      <c r="M74" s="0">
        <v>0</v>
      </c>
      <c r="N74" s="0" t="b">
        <v>0</v>
      </c>
      <c r="O74" s="2">
        <v>44613.583333333336</v>
      </c>
      <c r="P74" s="2">
        <v>44613.625</v>
      </c>
      <c r="Q74" s="2">
        <v>44613.208333333336</v>
      </c>
      <c r="R74" s="2">
        <v>44613.25</v>
      </c>
      <c r="S74" s="0">
        <v>60</v>
      </c>
      <c r="T74" s="0">
        <v>12</v>
      </c>
      <c r="U74" s="0">
        <v>49</v>
      </c>
      <c r="V74" s="0">
        <v>772</v>
      </c>
      <c r="W74" s="1">
        <f>=HYPERLINK("10.175.1.14\MWEB.12\BT\EntityDetails.10.175.1.14.MWEB.12.-net-.772.xlsx", "&lt;Detail&gt;")</f>
      </c>
      <c r="X74" s="1">
        <f>=HYPERLINK("10.175.1.14\MWEB.12\BT\MetricGraphs.BT.10.175.1.14.MWEB.12.xlsx", "&lt;Metrics&gt;")</f>
      </c>
      <c r="Y74" s="1">
        <f>=HYPERLINK("10.175.1.14\MWEB.12\BT\FlameGraph.BT.10.175.1.14.MWEB.12.-net-.772.svg", "&lt;FlGraph&gt;")</f>
      </c>
      <c r="Z74" s="1">
        <f>=HYPERLINK("10.175.1.14\MWEB.12\BT\FlameChart.BT.10.175.1.14.MWEB.12.-net-.772.svg", "&lt;FlChart&gt;")</f>
      </c>
      <c r="AA74" s="0" t="s">
        <v>107</v>
      </c>
      <c r="AB74" s="0" t="s">
        <v>108</v>
      </c>
      <c r="AC74" s="0" t="s">
        <v>148</v>
      </c>
      <c r="AD74" s="0" t="s">
        <v>340</v>
      </c>
      <c r="AE74" s="0" t="s">
        <v>109</v>
      </c>
    </row>
    <row r="75">
      <c r="A75" s="0" t="s">
        <v>28</v>
      </c>
      <c r="B75" s="0" t="s">
        <v>30</v>
      </c>
      <c r="C75" s="0" t="s">
        <v>149</v>
      </c>
      <c r="D75" s="0" t="s">
        <v>339</v>
      </c>
      <c r="E75" s="0" t="s">
        <v>229</v>
      </c>
      <c r="F75" s="0">
        <v>0</v>
      </c>
      <c r="G75" s="0" t="s">
        <v>106</v>
      </c>
      <c r="H75" s="0">
        <v>0</v>
      </c>
      <c r="I75" s="0">
        <v>0</v>
      </c>
      <c r="J75" s="0">
        <v>0</v>
      </c>
      <c r="K75" s="0">
        <v>0</v>
      </c>
      <c r="L75" s="0">
        <v>0</v>
      </c>
      <c r="M75" s="0">
        <v>0</v>
      </c>
      <c r="N75" s="0" t="b">
        <v>0</v>
      </c>
      <c r="O75" s="2">
        <v>44613.583333333336</v>
      </c>
      <c r="P75" s="2">
        <v>44613.625</v>
      </c>
      <c r="Q75" s="2">
        <v>44613.208333333336</v>
      </c>
      <c r="R75" s="2">
        <v>44613.25</v>
      </c>
      <c r="S75" s="0">
        <v>60</v>
      </c>
      <c r="T75" s="0">
        <v>12</v>
      </c>
      <c r="U75" s="0">
        <v>50</v>
      </c>
      <c r="V75" s="0">
        <v>783</v>
      </c>
      <c r="W75" s="1">
        <f>=HYPERLINK("10.175.1.14\MWEB.12\BT\EntityDetails.10.175.1.14.MWEB.12.-net-.783.xlsx", "&lt;Detail&gt;")</f>
      </c>
      <c r="X75" s="1">
        <f>=HYPERLINK("10.175.1.14\MWEB.12\BT\MetricGraphs.BT.10.175.1.14.MWEB.12.xlsx", "&lt;Metrics&gt;")</f>
      </c>
      <c r="Y75" s="1">
        <f>=HYPERLINK("10.175.1.14\MWEB.12\BT\FlameGraph.BT.10.175.1.14.MWEB.12.-net-.783.svg", "&lt;FlGraph&gt;")</f>
      </c>
      <c r="Z75" s="1">
        <f>=HYPERLINK("10.175.1.14\MWEB.12\BT\FlameChart.BT.10.175.1.14.MWEB.12.-net-.783.svg", "&lt;FlChart&gt;")</f>
      </c>
      <c r="AA75" s="0" t="s">
        <v>107</v>
      </c>
      <c r="AB75" s="0" t="s">
        <v>108</v>
      </c>
      <c r="AC75" s="0" t="s">
        <v>150</v>
      </c>
      <c r="AD75" s="0" t="s">
        <v>341</v>
      </c>
      <c r="AE75" s="0" t="s">
        <v>109</v>
      </c>
    </row>
    <row r="76">
      <c r="A76" s="0" t="s">
        <v>28</v>
      </c>
      <c r="B76" s="0" t="s">
        <v>30</v>
      </c>
      <c r="C76" s="0" t="s">
        <v>153</v>
      </c>
      <c r="D76" s="0" t="s">
        <v>339</v>
      </c>
      <c r="E76" s="0" t="s">
        <v>229</v>
      </c>
      <c r="F76" s="0">
        <v>0</v>
      </c>
      <c r="G76" s="0" t="s">
        <v>106</v>
      </c>
      <c r="H76" s="0">
        <v>0</v>
      </c>
      <c r="I76" s="0">
        <v>0</v>
      </c>
      <c r="J76" s="0">
        <v>0</v>
      </c>
      <c r="K76" s="0">
        <v>0</v>
      </c>
      <c r="L76" s="0">
        <v>0</v>
      </c>
      <c r="M76" s="0">
        <v>0</v>
      </c>
      <c r="N76" s="0" t="b">
        <v>0</v>
      </c>
      <c r="O76" s="2">
        <v>44613.583333333336</v>
      </c>
      <c r="P76" s="2">
        <v>44613.625</v>
      </c>
      <c r="Q76" s="2">
        <v>44613.208333333336</v>
      </c>
      <c r="R76" s="2">
        <v>44613.25</v>
      </c>
      <c r="S76" s="0">
        <v>60</v>
      </c>
      <c r="T76" s="0">
        <v>12</v>
      </c>
      <c r="U76" s="0">
        <v>51</v>
      </c>
      <c r="V76" s="0">
        <v>785</v>
      </c>
      <c r="W76" s="1">
        <f>=HYPERLINK("10.175.1.14\MWEB.12\BT\EntityDetails.10.175.1.14.MWEB.12.-net-.785.xlsx", "&lt;Detail&gt;")</f>
      </c>
      <c r="X76" s="1">
        <f>=HYPERLINK("10.175.1.14\MWEB.12\BT\MetricGraphs.BT.10.175.1.14.MWEB.12.xlsx", "&lt;Metrics&gt;")</f>
      </c>
      <c r="Y76" s="1">
        <f>=HYPERLINK("10.175.1.14\MWEB.12\BT\FlameGraph.BT.10.175.1.14.MWEB.12.-net-.785.svg", "&lt;FlGraph&gt;")</f>
      </c>
      <c r="Z76" s="1">
        <f>=HYPERLINK("10.175.1.14\MWEB.12\BT\FlameChart.BT.10.175.1.14.MWEB.12.-net-.785.svg", "&lt;FlChart&gt;")</f>
      </c>
      <c r="AA76" s="0" t="s">
        <v>107</v>
      </c>
      <c r="AB76" s="0" t="s">
        <v>108</v>
      </c>
      <c r="AC76" s="0" t="s">
        <v>154</v>
      </c>
      <c r="AD76" s="0" t="s">
        <v>342</v>
      </c>
      <c r="AE76" s="0" t="s">
        <v>109</v>
      </c>
    </row>
    <row r="77">
      <c r="A77" s="0" t="s">
        <v>28</v>
      </c>
      <c r="B77" s="0" t="s">
        <v>30</v>
      </c>
      <c r="C77" s="0" t="s">
        <v>127</v>
      </c>
      <c r="D77" s="0" t="s">
        <v>343</v>
      </c>
      <c r="E77" s="0" t="s">
        <v>229</v>
      </c>
      <c r="F77" s="0">
        <v>0</v>
      </c>
      <c r="G77" s="0" t="s">
        <v>106</v>
      </c>
      <c r="H77" s="0">
        <v>0</v>
      </c>
      <c r="I77" s="0">
        <v>0</v>
      </c>
      <c r="J77" s="0">
        <v>0</v>
      </c>
      <c r="K77" s="0">
        <v>0</v>
      </c>
      <c r="L77" s="0">
        <v>0</v>
      </c>
      <c r="M77" s="0">
        <v>0</v>
      </c>
      <c r="N77" s="0" t="b">
        <v>0</v>
      </c>
      <c r="O77" s="2">
        <v>44613.583333333336</v>
      </c>
      <c r="P77" s="2">
        <v>44613.625</v>
      </c>
      <c r="Q77" s="2">
        <v>44613.208333333336</v>
      </c>
      <c r="R77" s="2">
        <v>44613.25</v>
      </c>
      <c r="S77" s="0">
        <v>60</v>
      </c>
      <c r="T77" s="0">
        <v>12</v>
      </c>
      <c r="U77" s="0">
        <v>39</v>
      </c>
      <c r="V77" s="0">
        <v>209</v>
      </c>
      <c r="W77" s="1">
        <f>=HYPERLINK("10.175.1.14\MWEB.12\BT\EntityDetails.10.175.1.14.MWEB.12.-net-nyukai.209.xlsx", "&lt;Detail&gt;")</f>
      </c>
      <c r="X77" s="1">
        <f>=HYPERLINK("10.175.1.14\MWEB.12\BT\MetricGraphs.BT.10.175.1.14.MWEB.12.xlsx", "&lt;Metrics&gt;")</f>
      </c>
      <c r="Y77" s="1">
        <f>=HYPERLINK("10.175.1.14\MWEB.12\BT\FlameGraph.BT.10.175.1.14.MWEB.12.-net-nyukai.209.svg", "&lt;FlGraph&gt;")</f>
      </c>
      <c r="Z77" s="1">
        <f>=HYPERLINK("10.175.1.14\MWEB.12\BT\FlameChart.BT.10.175.1.14.MWEB.12.-net-nyukai.209.svg", "&lt;FlChart&gt;")</f>
      </c>
      <c r="AA77" s="0" t="s">
        <v>107</v>
      </c>
      <c r="AB77" s="0" t="s">
        <v>108</v>
      </c>
      <c r="AC77" s="0" t="s">
        <v>128</v>
      </c>
      <c r="AD77" s="0" t="s">
        <v>344</v>
      </c>
      <c r="AE77" s="0" t="s">
        <v>109</v>
      </c>
    </row>
    <row r="78">
      <c r="A78" s="0" t="s">
        <v>28</v>
      </c>
      <c r="B78" s="0" t="s">
        <v>30</v>
      </c>
      <c r="C78" s="0" t="s">
        <v>131</v>
      </c>
      <c r="D78" s="0" t="s">
        <v>345</v>
      </c>
      <c r="E78" s="0" t="s">
        <v>229</v>
      </c>
      <c r="F78" s="0">
        <v>0</v>
      </c>
      <c r="G78" s="0" t="s">
        <v>106</v>
      </c>
      <c r="H78" s="0">
        <v>0</v>
      </c>
      <c r="I78" s="0">
        <v>0</v>
      </c>
      <c r="J78" s="0">
        <v>0</v>
      </c>
      <c r="K78" s="0">
        <v>0</v>
      </c>
      <c r="L78" s="0">
        <v>0</v>
      </c>
      <c r="M78" s="0">
        <v>0</v>
      </c>
      <c r="N78" s="0" t="b">
        <v>0</v>
      </c>
      <c r="O78" s="2">
        <v>44613.583333333336</v>
      </c>
      <c r="P78" s="2">
        <v>44613.625</v>
      </c>
      <c r="Q78" s="2">
        <v>44613.208333333336</v>
      </c>
      <c r="R78" s="2">
        <v>44613.25</v>
      </c>
      <c r="S78" s="0">
        <v>60</v>
      </c>
      <c r="T78" s="0">
        <v>12</v>
      </c>
      <c r="U78" s="0">
        <v>40</v>
      </c>
      <c r="V78" s="0">
        <v>424</v>
      </c>
      <c r="W78" s="1">
        <f>=HYPERLINK("10.175.1.14\MWEB.12\BT\EntityDetails.10.175.1.14.MWEB.12.-net-online.424.xlsx", "&lt;Detail&gt;")</f>
      </c>
      <c r="X78" s="1">
        <f>=HYPERLINK("10.175.1.14\MWEB.12\BT\MetricGraphs.BT.10.175.1.14.MWEB.12.xlsx", "&lt;Metrics&gt;")</f>
      </c>
      <c r="Y78" s="1">
        <f>=HYPERLINK("10.175.1.14\MWEB.12\BT\FlameGraph.BT.10.175.1.14.MWEB.12.-net-online.424.svg", "&lt;FlGraph&gt;")</f>
      </c>
      <c r="Z78" s="1">
        <f>=HYPERLINK("10.175.1.14\MWEB.12\BT\FlameChart.BT.10.175.1.14.MWEB.12.-net-online.424.svg", "&lt;FlChart&gt;")</f>
      </c>
      <c r="AA78" s="0" t="s">
        <v>107</v>
      </c>
      <c r="AB78" s="0" t="s">
        <v>108</v>
      </c>
      <c r="AC78" s="0" t="s">
        <v>132</v>
      </c>
      <c r="AD78" s="0" t="s">
        <v>346</v>
      </c>
      <c r="AE78" s="0" t="s">
        <v>109</v>
      </c>
    </row>
    <row r="79">
      <c r="A79" s="0" t="s">
        <v>28</v>
      </c>
      <c r="B79" s="0" t="s">
        <v>30</v>
      </c>
      <c r="C79" s="0" t="s">
        <v>139</v>
      </c>
      <c r="D79" s="0" t="s">
        <v>347</v>
      </c>
      <c r="E79" s="0" t="s">
        <v>223</v>
      </c>
      <c r="F79" s="0">
        <v>0</v>
      </c>
      <c r="G79" s="0" t="s">
        <v>106</v>
      </c>
      <c r="H79" s="0">
        <v>0</v>
      </c>
      <c r="I79" s="0">
        <v>0</v>
      </c>
      <c r="J79" s="0">
        <v>0</v>
      </c>
      <c r="K79" s="0">
        <v>0</v>
      </c>
      <c r="L79" s="0">
        <v>0</v>
      </c>
      <c r="M79" s="0">
        <v>0</v>
      </c>
      <c r="N79" s="0" t="b">
        <v>0</v>
      </c>
      <c r="O79" s="2">
        <v>44613.583333333336</v>
      </c>
      <c r="P79" s="2">
        <v>44613.625</v>
      </c>
      <c r="Q79" s="2">
        <v>44613.208333333336</v>
      </c>
      <c r="R79" s="2">
        <v>44613.25</v>
      </c>
      <c r="S79" s="0">
        <v>60</v>
      </c>
      <c r="T79" s="0">
        <v>12</v>
      </c>
      <c r="U79" s="0">
        <v>35</v>
      </c>
      <c r="V79" s="0">
        <v>434</v>
      </c>
      <c r="W79" s="1">
        <f>=HYPERLINK("10.175.1.14\MWEB.12\BT\EntityDetails.10.175.1.14.MWEB.12.-newsplus.434.xlsx", "&lt;Detail&gt;")</f>
      </c>
      <c r="X79" s="1">
        <f>=HYPERLINK("10.175.1.14\MWEB.12\BT\MetricGraphs.BT.10.175.1.14.MWEB.12.xlsx", "&lt;Metrics&gt;")</f>
      </c>
      <c r="Y79" s="1">
        <f>=HYPERLINK("10.175.1.14\MWEB.12\BT\FlameGraph.BT.10.175.1.14.MWEB.12.-newsplus.434.svg", "&lt;FlGraph&gt;")</f>
      </c>
      <c r="Z79" s="1">
        <f>=HYPERLINK("10.175.1.14\MWEB.12\BT\FlameChart.BT.10.175.1.14.MWEB.12.-newsplus.434.svg", "&lt;FlChart&gt;")</f>
      </c>
      <c r="AA79" s="0" t="s">
        <v>107</v>
      </c>
      <c r="AB79" s="0" t="s">
        <v>108</v>
      </c>
      <c r="AC79" s="0" t="s">
        <v>142</v>
      </c>
      <c r="AD79" s="0" t="s">
        <v>348</v>
      </c>
      <c r="AE79" s="0" t="s">
        <v>109</v>
      </c>
    </row>
    <row r="80">
      <c r="A80" s="0" t="s">
        <v>28</v>
      </c>
      <c r="B80" s="0" t="s">
        <v>30</v>
      </c>
      <c r="C80" s="0" t="s">
        <v>139</v>
      </c>
      <c r="D80" s="0" t="s">
        <v>349</v>
      </c>
      <c r="E80" s="0" t="s">
        <v>223</v>
      </c>
      <c r="F80" s="0">
        <v>0</v>
      </c>
      <c r="G80" s="0" t="s">
        <v>106</v>
      </c>
      <c r="H80" s="0">
        <v>0</v>
      </c>
      <c r="I80" s="0">
        <v>0</v>
      </c>
      <c r="J80" s="0">
        <v>0</v>
      </c>
      <c r="K80" s="0">
        <v>0</v>
      </c>
      <c r="L80" s="0">
        <v>0</v>
      </c>
      <c r="M80" s="0">
        <v>0</v>
      </c>
      <c r="N80" s="0" t="b">
        <v>0</v>
      </c>
      <c r="O80" s="2">
        <v>44613.583333333336</v>
      </c>
      <c r="P80" s="2">
        <v>44613.625</v>
      </c>
      <c r="Q80" s="2">
        <v>44613.208333333336</v>
      </c>
      <c r="R80" s="2">
        <v>44613.25</v>
      </c>
      <c r="S80" s="0">
        <v>60</v>
      </c>
      <c r="T80" s="0">
        <v>12</v>
      </c>
      <c r="U80" s="0">
        <v>35</v>
      </c>
      <c r="V80" s="0">
        <v>92</v>
      </c>
      <c r="W80" s="1">
        <f>=HYPERLINK("10.175.1.14\MWEB.12\BT\EntityDetails.10.175.1.14.MWEB.12.-newsplus-.92.xlsx", "&lt;Detail&gt;")</f>
      </c>
      <c r="X80" s="1">
        <f>=HYPERLINK("10.175.1.14\MWEB.12\BT\MetricGraphs.BT.10.175.1.14.MWEB.12.xlsx", "&lt;Metrics&gt;")</f>
      </c>
      <c r="Y80" s="1">
        <f>=HYPERLINK("10.175.1.14\MWEB.12\BT\FlameGraph.BT.10.175.1.14.MWEB.12.-newsplus-.92.svg", "&lt;FlGraph&gt;")</f>
      </c>
      <c r="Z80" s="1">
        <f>=HYPERLINK("10.175.1.14\MWEB.12\BT\FlameChart.BT.10.175.1.14.MWEB.12.-newsplus-.92.svg", "&lt;FlChart&gt;")</f>
      </c>
      <c r="AA80" s="0" t="s">
        <v>107</v>
      </c>
      <c r="AB80" s="0" t="s">
        <v>108</v>
      </c>
      <c r="AC80" s="0" t="s">
        <v>142</v>
      </c>
      <c r="AD80" s="0" t="s">
        <v>350</v>
      </c>
      <c r="AE80" s="0" t="s">
        <v>109</v>
      </c>
    </row>
    <row r="81">
      <c r="A81" s="0" t="s">
        <v>28</v>
      </c>
      <c r="B81" s="0" t="s">
        <v>30</v>
      </c>
      <c r="C81" s="0" t="s">
        <v>161</v>
      </c>
      <c r="D81" s="0" t="s">
        <v>349</v>
      </c>
      <c r="E81" s="0" t="s">
        <v>223</v>
      </c>
      <c r="F81" s="0">
        <v>0</v>
      </c>
      <c r="G81" s="0" t="s">
        <v>106</v>
      </c>
      <c r="H81" s="0">
        <v>0</v>
      </c>
      <c r="I81" s="0">
        <v>0</v>
      </c>
      <c r="J81" s="0">
        <v>0</v>
      </c>
      <c r="K81" s="0">
        <v>0</v>
      </c>
      <c r="L81" s="0">
        <v>0</v>
      </c>
      <c r="M81" s="0">
        <v>0</v>
      </c>
      <c r="N81" s="0" t="b">
        <v>0</v>
      </c>
      <c r="O81" s="2">
        <v>44613.583333333336</v>
      </c>
      <c r="P81" s="2">
        <v>44613.625</v>
      </c>
      <c r="Q81" s="2">
        <v>44613.208333333336</v>
      </c>
      <c r="R81" s="2">
        <v>44613.25</v>
      </c>
      <c r="S81" s="0">
        <v>60</v>
      </c>
      <c r="T81" s="0">
        <v>12</v>
      </c>
      <c r="U81" s="0">
        <v>48</v>
      </c>
      <c r="V81" s="0">
        <v>712</v>
      </c>
      <c r="W81" s="1">
        <f>=HYPERLINK("10.175.1.14\MWEB.12\BT\EntityDetails.10.175.1.14.MWEB.12.-newsplus-.712.xlsx", "&lt;Detail&gt;")</f>
      </c>
      <c r="X81" s="1">
        <f>=HYPERLINK("10.175.1.14\MWEB.12\BT\MetricGraphs.BT.10.175.1.14.MWEB.12.xlsx", "&lt;Metrics&gt;")</f>
      </c>
      <c r="Y81" s="1">
        <f>=HYPERLINK("10.175.1.14\MWEB.12\BT\FlameGraph.BT.10.175.1.14.MWEB.12.-newsplus-.712.svg", "&lt;FlGraph&gt;")</f>
      </c>
      <c r="Z81" s="1">
        <f>=HYPERLINK("10.175.1.14\MWEB.12\BT\FlameChart.BT.10.175.1.14.MWEB.12.-newsplus-.712.svg", "&lt;FlChart&gt;")</f>
      </c>
      <c r="AA81" s="0" t="s">
        <v>107</v>
      </c>
      <c r="AB81" s="0" t="s">
        <v>108</v>
      </c>
      <c r="AC81" s="0" t="s">
        <v>162</v>
      </c>
      <c r="AD81" s="0" t="s">
        <v>351</v>
      </c>
      <c r="AE81" s="0" t="s">
        <v>109</v>
      </c>
    </row>
    <row r="82">
      <c r="A82" s="0" t="s">
        <v>28</v>
      </c>
      <c r="B82" s="0" t="s">
        <v>30</v>
      </c>
      <c r="C82" s="0" t="s">
        <v>139</v>
      </c>
      <c r="D82" s="0" t="s">
        <v>352</v>
      </c>
      <c r="E82" s="0" t="s">
        <v>223</v>
      </c>
      <c r="F82" s="0">
        <v>0</v>
      </c>
      <c r="G82" s="0" t="s">
        <v>106</v>
      </c>
      <c r="H82" s="0">
        <v>0</v>
      </c>
      <c r="I82" s="0">
        <v>0</v>
      </c>
      <c r="J82" s="0">
        <v>0</v>
      </c>
      <c r="K82" s="0">
        <v>0</v>
      </c>
      <c r="L82" s="0">
        <v>0</v>
      </c>
      <c r="M82" s="0">
        <v>0</v>
      </c>
      <c r="N82" s="0" t="b">
        <v>0</v>
      </c>
      <c r="O82" s="2">
        <v>44613.583333333336</v>
      </c>
      <c r="P82" s="2">
        <v>44613.625</v>
      </c>
      <c r="Q82" s="2">
        <v>44613.208333333336</v>
      </c>
      <c r="R82" s="2">
        <v>44613.25</v>
      </c>
      <c r="S82" s="0">
        <v>60</v>
      </c>
      <c r="T82" s="0">
        <v>12</v>
      </c>
      <c r="U82" s="0">
        <v>35</v>
      </c>
      <c r="V82" s="0">
        <v>253</v>
      </c>
      <c r="W82" s="1">
        <f>=HYPERLINK("10.175.1.14\MWEB.12\BT\EntityDetails.10.175.1.14.MWEB.12.-newsplus-ab.253.xlsx", "&lt;Detail&gt;")</f>
      </c>
      <c r="X82" s="1">
        <f>=HYPERLINK("10.175.1.14\MWEB.12\BT\MetricGraphs.BT.10.175.1.14.MWEB.12.xlsx", "&lt;Metrics&gt;")</f>
      </c>
      <c r="Y82" s="1">
        <f>=HYPERLINK("10.175.1.14\MWEB.12\BT\FlameGraph.BT.10.175.1.14.MWEB.12.-newsplus-ab.253.svg", "&lt;FlGraph&gt;")</f>
      </c>
      <c r="Z82" s="1">
        <f>=HYPERLINK("10.175.1.14\MWEB.12\BT\FlameChart.BT.10.175.1.14.MWEB.12.-newsplus-ab.253.svg", "&lt;FlChart&gt;")</f>
      </c>
      <c r="AA82" s="0" t="s">
        <v>107</v>
      </c>
      <c r="AB82" s="0" t="s">
        <v>108</v>
      </c>
      <c r="AC82" s="0" t="s">
        <v>142</v>
      </c>
      <c r="AD82" s="0" t="s">
        <v>353</v>
      </c>
      <c r="AE82" s="0" t="s">
        <v>109</v>
      </c>
    </row>
    <row r="83">
      <c r="A83" s="0" t="s">
        <v>28</v>
      </c>
      <c r="B83" s="0" t="s">
        <v>30</v>
      </c>
      <c r="C83" s="0" t="s">
        <v>139</v>
      </c>
      <c r="D83" s="0" t="s">
        <v>354</v>
      </c>
      <c r="E83" s="0" t="s">
        <v>223</v>
      </c>
      <c r="F83" s="0">
        <v>0</v>
      </c>
      <c r="G83" s="0" t="s">
        <v>106</v>
      </c>
      <c r="H83" s="0">
        <v>0</v>
      </c>
      <c r="I83" s="0">
        <v>0</v>
      </c>
      <c r="J83" s="0">
        <v>0</v>
      </c>
      <c r="K83" s="0">
        <v>0</v>
      </c>
      <c r="L83" s="0">
        <v>0</v>
      </c>
      <c r="M83" s="0">
        <v>0</v>
      </c>
      <c r="N83" s="0" t="b">
        <v>0</v>
      </c>
      <c r="O83" s="2">
        <v>44613.583333333336</v>
      </c>
      <c r="P83" s="2">
        <v>44613.625</v>
      </c>
      <c r="Q83" s="2">
        <v>44613.208333333336</v>
      </c>
      <c r="R83" s="2">
        <v>44613.25</v>
      </c>
      <c r="S83" s="0">
        <v>60</v>
      </c>
      <c r="T83" s="0">
        <v>12</v>
      </c>
      <c r="U83" s="0">
        <v>35</v>
      </c>
      <c r="V83" s="0">
        <v>247</v>
      </c>
      <c r="W83" s="1">
        <f>=HYPERLINK("10.175.1.14\MWEB.12\BT\EntityDetails.10.175.1.14.MWEB.12.-newsplus-al.247.xlsx", "&lt;Detail&gt;")</f>
      </c>
      <c r="X83" s="1">
        <f>=HYPERLINK("10.175.1.14\MWEB.12\BT\MetricGraphs.BT.10.175.1.14.MWEB.12.xlsx", "&lt;Metrics&gt;")</f>
      </c>
      <c r="Y83" s="1">
        <f>=HYPERLINK("10.175.1.14\MWEB.12\BT\FlameGraph.BT.10.175.1.14.MWEB.12.-newsplus-al.247.svg", "&lt;FlGraph&gt;")</f>
      </c>
      <c r="Z83" s="1">
        <f>=HYPERLINK("10.175.1.14\MWEB.12\BT\FlameChart.BT.10.175.1.14.MWEB.12.-newsplus-al.247.svg", "&lt;FlChart&gt;")</f>
      </c>
      <c r="AA83" s="0" t="s">
        <v>107</v>
      </c>
      <c r="AB83" s="0" t="s">
        <v>108</v>
      </c>
      <c r="AC83" s="0" t="s">
        <v>142</v>
      </c>
      <c r="AD83" s="0" t="s">
        <v>355</v>
      </c>
      <c r="AE83" s="0" t="s">
        <v>109</v>
      </c>
    </row>
    <row r="84">
      <c r="A84" s="0" t="s">
        <v>28</v>
      </c>
      <c r="B84" s="0" t="s">
        <v>30</v>
      </c>
      <c r="C84" s="0" t="s">
        <v>139</v>
      </c>
      <c r="D84" s="0" t="s">
        <v>356</v>
      </c>
      <c r="E84" s="0" t="s">
        <v>223</v>
      </c>
      <c r="F84" s="0">
        <v>0</v>
      </c>
      <c r="G84" s="0" t="s">
        <v>106</v>
      </c>
      <c r="H84" s="0">
        <v>0</v>
      </c>
      <c r="I84" s="0">
        <v>0</v>
      </c>
      <c r="J84" s="0">
        <v>0</v>
      </c>
      <c r="K84" s="0">
        <v>0</v>
      </c>
      <c r="L84" s="0">
        <v>0</v>
      </c>
      <c r="M84" s="0">
        <v>0</v>
      </c>
      <c r="N84" s="0" t="b">
        <v>0</v>
      </c>
      <c r="O84" s="2">
        <v>44613.583333333336</v>
      </c>
      <c r="P84" s="2">
        <v>44613.625</v>
      </c>
      <c r="Q84" s="2">
        <v>44613.208333333336</v>
      </c>
      <c r="R84" s="2">
        <v>44613.25</v>
      </c>
      <c r="S84" s="0">
        <v>60</v>
      </c>
      <c r="T84" s="0">
        <v>12</v>
      </c>
      <c r="U84" s="0">
        <v>35</v>
      </c>
      <c r="V84" s="0">
        <v>295</v>
      </c>
      <c r="W84" s="1">
        <f>=HYPERLINK("10.175.1.14\MWEB.12\BT\EntityDetails.10.175.1.14.MWEB.12.-newsplus-am.295.xlsx", "&lt;Detail&gt;")</f>
      </c>
      <c r="X84" s="1">
        <f>=HYPERLINK("10.175.1.14\MWEB.12\BT\MetricGraphs.BT.10.175.1.14.MWEB.12.xlsx", "&lt;Metrics&gt;")</f>
      </c>
      <c r="Y84" s="1">
        <f>=HYPERLINK("10.175.1.14\MWEB.12\BT\FlameGraph.BT.10.175.1.14.MWEB.12.-newsplus-am.295.svg", "&lt;FlGraph&gt;")</f>
      </c>
      <c r="Z84" s="1">
        <f>=HYPERLINK("10.175.1.14\MWEB.12\BT\FlameChart.BT.10.175.1.14.MWEB.12.-newsplus-am.295.svg", "&lt;FlChart&gt;")</f>
      </c>
      <c r="AA84" s="0" t="s">
        <v>107</v>
      </c>
      <c r="AB84" s="0" t="s">
        <v>108</v>
      </c>
      <c r="AC84" s="0" t="s">
        <v>142</v>
      </c>
      <c r="AD84" s="0" t="s">
        <v>357</v>
      </c>
      <c r="AE84" s="0" t="s">
        <v>109</v>
      </c>
    </row>
    <row r="85">
      <c r="A85" s="0" t="s">
        <v>28</v>
      </c>
      <c r="B85" s="0" t="s">
        <v>30</v>
      </c>
      <c r="C85" s="0" t="s">
        <v>139</v>
      </c>
      <c r="D85" s="0" t="s">
        <v>358</v>
      </c>
      <c r="E85" s="0" t="s">
        <v>223</v>
      </c>
      <c r="F85" s="0">
        <v>0</v>
      </c>
      <c r="G85" s="0" t="s">
        <v>106</v>
      </c>
      <c r="H85" s="0">
        <v>0</v>
      </c>
      <c r="I85" s="0">
        <v>0</v>
      </c>
      <c r="J85" s="0">
        <v>0</v>
      </c>
      <c r="K85" s="0">
        <v>0</v>
      </c>
      <c r="L85" s="0">
        <v>0</v>
      </c>
      <c r="M85" s="0">
        <v>0</v>
      </c>
      <c r="N85" s="0" t="b">
        <v>0</v>
      </c>
      <c r="O85" s="2">
        <v>44613.583333333336</v>
      </c>
      <c r="P85" s="2">
        <v>44613.625</v>
      </c>
      <c r="Q85" s="2">
        <v>44613.208333333336</v>
      </c>
      <c r="R85" s="2">
        <v>44613.25</v>
      </c>
      <c r="S85" s="0">
        <v>60</v>
      </c>
      <c r="T85" s="0">
        <v>12</v>
      </c>
      <c r="U85" s="0">
        <v>35</v>
      </c>
      <c r="V85" s="0">
        <v>264</v>
      </c>
      <c r="W85" s="1">
        <f>=HYPERLINK("10.175.1.14\MWEB.12\BT\EntityDetails.10.175.1.14.MWEB.12.-newsplus-br.264.xlsx", "&lt;Detail&gt;")</f>
      </c>
      <c r="X85" s="1">
        <f>=HYPERLINK("10.175.1.14\MWEB.12\BT\MetricGraphs.BT.10.175.1.14.MWEB.12.xlsx", "&lt;Metrics&gt;")</f>
      </c>
      <c r="Y85" s="1">
        <f>=HYPERLINK("10.175.1.14\MWEB.12\BT\FlameGraph.BT.10.175.1.14.MWEB.12.-newsplus-br.264.svg", "&lt;FlGraph&gt;")</f>
      </c>
      <c r="Z85" s="1">
        <f>=HYPERLINK("10.175.1.14\MWEB.12\BT\FlameChart.BT.10.175.1.14.MWEB.12.-newsplus-br.264.svg", "&lt;FlChart&gt;")</f>
      </c>
      <c r="AA85" s="0" t="s">
        <v>107</v>
      </c>
      <c r="AB85" s="0" t="s">
        <v>108</v>
      </c>
      <c r="AC85" s="0" t="s">
        <v>142</v>
      </c>
      <c r="AD85" s="0" t="s">
        <v>359</v>
      </c>
      <c r="AE85" s="0" t="s">
        <v>109</v>
      </c>
    </row>
    <row r="86">
      <c r="A86" s="0" t="s">
        <v>28</v>
      </c>
      <c r="B86" s="0" t="s">
        <v>30</v>
      </c>
      <c r="C86" s="0" t="s">
        <v>161</v>
      </c>
      <c r="D86" s="0" t="s">
        <v>358</v>
      </c>
      <c r="E86" s="0" t="s">
        <v>223</v>
      </c>
      <c r="F86" s="0">
        <v>0</v>
      </c>
      <c r="G86" s="0" t="s">
        <v>106</v>
      </c>
      <c r="H86" s="0">
        <v>0</v>
      </c>
      <c r="I86" s="0">
        <v>0</v>
      </c>
      <c r="J86" s="0">
        <v>0</v>
      </c>
      <c r="K86" s="0">
        <v>0</v>
      </c>
      <c r="L86" s="0">
        <v>0</v>
      </c>
      <c r="M86" s="0">
        <v>0</v>
      </c>
      <c r="N86" s="0" t="b">
        <v>0</v>
      </c>
      <c r="O86" s="2">
        <v>44613.583333333336</v>
      </c>
      <c r="P86" s="2">
        <v>44613.625</v>
      </c>
      <c r="Q86" s="2">
        <v>44613.208333333336</v>
      </c>
      <c r="R86" s="2">
        <v>44613.25</v>
      </c>
      <c r="S86" s="0">
        <v>60</v>
      </c>
      <c r="T86" s="0">
        <v>12</v>
      </c>
      <c r="U86" s="0">
        <v>48</v>
      </c>
      <c r="V86" s="0">
        <v>895</v>
      </c>
      <c r="W86" s="1">
        <f>=HYPERLINK("10.175.1.14\MWEB.12\BT\EntityDetails.10.175.1.14.MWEB.12.-newsplus-br.895.xlsx", "&lt;Detail&gt;")</f>
      </c>
      <c r="X86" s="1">
        <f>=HYPERLINK("10.175.1.14\MWEB.12\BT\MetricGraphs.BT.10.175.1.14.MWEB.12.xlsx", "&lt;Metrics&gt;")</f>
      </c>
      <c r="Y86" s="1">
        <f>=HYPERLINK("10.175.1.14\MWEB.12\BT\FlameGraph.BT.10.175.1.14.MWEB.12.-newsplus-br.895.svg", "&lt;FlGraph&gt;")</f>
      </c>
      <c r="Z86" s="1">
        <f>=HYPERLINK("10.175.1.14\MWEB.12\BT\FlameChart.BT.10.175.1.14.MWEB.12.-newsplus-br.895.svg", "&lt;FlChart&gt;")</f>
      </c>
      <c r="AA86" s="0" t="s">
        <v>107</v>
      </c>
      <c r="AB86" s="0" t="s">
        <v>108</v>
      </c>
      <c r="AC86" s="0" t="s">
        <v>162</v>
      </c>
      <c r="AD86" s="0" t="s">
        <v>360</v>
      </c>
      <c r="AE86" s="0" t="s">
        <v>109</v>
      </c>
    </row>
    <row r="87">
      <c r="A87" s="0" t="s">
        <v>28</v>
      </c>
      <c r="B87" s="0" t="s">
        <v>30</v>
      </c>
      <c r="C87" s="0" t="s">
        <v>139</v>
      </c>
      <c r="D87" s="0" t="s">
        <v>361</v>
      </c>
      <c r="E87" s="0" t="s">
        <v>223</v>
      </c>
      <c r="F87" s="0">
        <v>0</v>
      </c>
      <c r="G87" s="0" t="s">
        <v>106</v>
      </c>
      <c r="H87" s="0">
        <v>0</v>
      </c>
      <c r="I87" s="0">
        <v>0</v>
      </c>
      <c r="J87" s="0">
        <v>0</v>
      </c>
      <c r="K87" s="0">
        <v>0</v>
      </c>
      <c r="L87" s="0">
        <v>0</v>
      </c>
      <c r="M87" s="0">
        <v>0</v>
      </c>
      <c r="N87" s="0" t="b">
        <v>0</v>
      </c>
      <c r="O87" s="2">
        <v>44613.583333333336</v>
      </c>
      <c r="P87" s="2">
        <v>44613.625</v>
      </c>
      <c r="Q87" s="2">
        <v>44613.208333333336</v>
      </c>
      <c r="R87" s="2">
        <v>44613.25</v>
      </c>
      <c r="S87" s="0">
        <v>60</v>
      </c>
      <c r="T87" s="0">
        <v>12</v>
      </c>
      <c r="U87" s="0">
        <v>35</v>
      </c>
      <c r="V87" s="0">
        <v>117</v>
      </c>
      <c r="W87" s="1">
        <f>=HYPERLINK("10.175.1.14\MWEB.12\BT\EntityDetails.10.175.1.14.MWEB.12.-newsplus-ca.117.xlsx", "&lt;Detail&gt;")</f>
      </c>
      <c r="X87" s="1">
        <f>=HYPERLINK("10.175.1.14\MWEB.12\BT\MetricGraphs.BT.10.175.1.14.MWEB.12.xlsx", "&lt;Metrics&gt;")</f>
      </c>
      <c r="Y87" s="1">
        <f>=HYPERLINK("10.175.1.14\MWEB.12\BT\FlameGraph.BT.10.175.1.14.MWEB.12.-newsplus-ca.117.svg", "&lt;FlGraph&gt;")</f>
      </c>
      <c r="Z87" s="1">
        <f>=HYPERLINK("10.175.1.14\MWEB.12\BT\FlameChart.BT.10.175.1.14.MWEB.12.-newsplus-ca.117.svg", "&lt;FlChart&gt;")</f>
      </c>
      <c r="AA87" s="0" t="s">
        <v>107</v>
      </c>
      <c r="AB87" s="0" t="s">
        <v>108</v>
      </c>
      <c r="AC87" s="0" t="s">
        <v>142</v>
      </c>
      <c r="AD87" s="0" t="s">
        <v>362</v>
      </c>
      <c r="AE87" s="0" t="s">
        <v>109</v>
      </c>
    </row>
    <row r="88">
      <c r="A88" s="0" t="s">
        <v>28</v>
      </c>
      <c r="B88" s="0" t="s">
        <v>30</v>
      </c>
      <c r="C88" s="0" t="s">
        <v>161</v>
      </c>
      <c r="D88" s="0" t="s">
        <v>361</v>
      </c>
      <c r="E88" s="0" t="s">
        <v>223</v>
      </c>
      <c r="F88" s="0">
        <v>0</v>
      </c>
      <c r="G88" s="0" t="s">
        <v>106</v>
      </c>
      <c r="H88" s="0">
        <v>0</v>
      </c>
      <c r="I88" s="0">
        <v>0</v>
      </c>
      <c r="J88" s="0">
        <v>0</v>
      </c>
      <c r="K88" s="0">
        <v>0</v>
      </c>
      <c r="L88" s="0">
        <v>0</v>
      </c>
      <c r="M88" s="0">
        <v>0</v>
      </c>
      <c r="N88" s="0" t="b">
        <v>0</v>
      </c>
      <c r="O88" s="2">
        <v>44613.583333333336</v>
      </c>
      <c r="P88" s="2">
        <v>44613.625</v>
      </c>
      <c r="Q88" s="2">
        <v>44613.208333333336</v>
      </c>
      <c r="R88" s="2">
        <v>44613.25</v>
      </c>
      <c r="S88" s="0">
        <v>60</v>
      </c>
      <c r="T88" s="0">
        <v>12</v>
      </c>
      <c r="U88" s="0">
        <v>48</v>
      </c>
      <c r="V88" s="0">
        <v>904</v>
      </c>
      <c r="W88" s="1">
        <f>=HYPERLINK("10.175.1.14\MWEB.12\BT\EntityDetails.10.175.1.14.MWEB.12.-newsplus-ca.904.xlsx", "&lt;Detail&gt;")</f>
      </c>
      <c r="X88" s="1">
        <f>=HYPERLINK("10.175.1.14\MWEB.12\BT\MetricGraphs.BT.10.175.1.14.MWEB.12.xlsx", "&lt;Metrics&gt;")</f>
      </c>
      <c r="Y88" s="1">
        <f>=HYPERLINK("10.175.1.14\MWEB.12\BT\FlameGraph.BT.10.175.1.14.MWEB.12.-newsplus-ca.904.svg", "&lt;FlGraph&gt;")</f>
      </c>
      <c r="Z88" s="1">
        <f>=HYPERLINK("10.175.1.14\MWEB.12\BT\FlameChart.BT.10.175.1.14.MWEB.12.-newsplus-ca.904.svg", "&lt;FlChart&gt;")</f>
      </c>
      <c r="AA88" s="0" t="s">
        <v>107</v>
      </c>
      <c r="AB88" s="0" t="s">
        <v>108</v>
      </c>
      <c r="AC88" s="0" t="s">
        <v>162</v>
      </c>
      <c r="AD88" s="0" t="s">
        <v>363</v>
      </c>
      <c r="AE88" s="0" t="s">
        <v>109</v>
      </c>
    </row>
    <row r="89">
      <c r="A89" s="0" t="s">
        <v>28</v>
      </c>
      <c r="B89" s="0" t="s">
        <v>30</v>
      </c>
      <c r="C89" s="0" t="s">
        <v>139</v>
      </c>
      <c r="D89" s="0" t="s">
        <v>364</v>
      </c>
      <c r="E89" s="0" t="s">
        <v>223</v>
      </c>
      <c r="F89" s="0">
        <v>0</v>
      </c>
      <c r="G89" s="0" t="s">
        <v>106</v>
      </c>
      <c r="H89" s="0">
        <v>0</v>
      </c>
      <c r="I89" s="0">
        <v>0</v>
      </c>
      <c r="J89" s="0">
        <v>0</v>
      </c>
      <c r="K89" s="0">
        <v>0</v>
      </c>
      <c r="L89" s="0">
        <v>0</v>
      </c>
      <c r="M89" s="0">
        <v>0</v>
      </c>
      <c r="N89" s="0" t="b">
        <v>0</v>
      </c>
      <c r="O89" s="2">
        <v>44613.583333333336</v>
      </c>
      <c r="P89" s="2">
        <v>44613.625</v>
      </c>
      <c r="Q89" s="2">
        <v>44613.208333333336</v>
      </c>
      <c r="R89" s="2">
        <v>44613.25</v>
      </c>
      <c r="S89" s="0">
        <v>60</v>
      </c>
      <c r="T89" s="0">
        <v>12</v>
      </c>
      <c r="U89" s="0">
        <v>35</v>
      </c>
      <c r="V89" s="0">
        <v>274</v>
      </c>
      <c r="W89" s="1">
        <f>=HYPERLINK("10.175.1.14\MWEB.12\BT\EntityDetails.10.175.1.14.MWEB.12.-newsplus-ca.274.xlsx", "&lt;Detail&gt;")</f>
      </c>
      <c r="X89" s="1">
        <f>=HYPERLINK("10.175.1.14\MWEB.12\BT\MetricGraphs.BT.10.175.1.14.MWEB.12.xlsx", "&lt;Metrics&gt;")</f>
      </c>
      <c r="Y89" s="1">
        <f>=HYPERLINK("10.175.1.14\MWEB.12\BT\FlameGraph.BT.10.175.1.14.MWEB.12.-newsplus-ca.274.svg", "&lt;FlGraph&gt;")</f>
      </c>
      <c r="Z89" s="1">
        <f>=HYPERLINK("10.175.1.14\MWEB.12\BT\FlameChart.BT.10.175.1.14.MWEB.12.-newsplus-ca.274.svg", "&lt;FlChart&gt;")</f>
      </c>
      <c r="AA89" s="0" t="s">
        <v>107</v>
      </c>
      <c r="AB89" s="0" t="s">
        <v>108</v>
      </c>
      <c r="AC89" s="0" t="s">
        <v>142</v>
      </c>
      <c r="AD89" s="0" t="s">
        <v>365</v>
      </c>
      <c r="AE89" s="0" t="s">
        <v>109</v>
      </c>
    </row>
    <row r="90">
      <c r="A90" s="0" t="s">
        <v>28</v>
      </c>
      <c r="B90" s="0" t="s">
        <v>30</v>
      </c>
      <c r="C90" s="0" t="s">
        <v>161</v>
      </c>
      <c r="D90" s="0" t="s">
        <v>364</v>
      </c>
      <c r="E90" s="0" t="s">
        <v>223</v>
      </c>
      <c r="F90" s="0">
        <v>0</v>
      </c>
      <c r="G90" s="0" t="s">
        <v>106</v>
      </c>
      <c r="H90" s="0">
        <v>0</v>
      </c>
      <c r="I90" s="0">
        <v>0</v>
      </c>
      <c r="J90" s="0">
        <v>0</v>
      </c>
      <c r="K90" s="0">
        <v>0</v>
      </c>
      <c r="L90" s="0">
        <v>0</v>
      </c>
      <c r="M90" s="0">
        <v>0</v>
      </c>
      <c r="N90" s="0" t="b">
        <v>0</v>
      </c>
      <c r="O90" s="2">
        <v>44613.583333333336</v>
      </c>
      <c r="P90" s="2">
        <v>44613.625</v>
      </c>
      <c r="Q90" s="2">
        <v>44613.208333333336</v>
      </c>
      <c r="R90" s="2">
        <v>44613.25</v>
      </c>
      <c r="S90" s="0">
        <v>60</v>
      </c>
      <c r="T90" s="0">
        <v>12</v>
      </c>
      <c r="U90" s="0">
        <v>48</v>
      </c>
      <c r="V90" s="0">
        <v>906</v>
      </c>
      <c r="W90" s="1">
        <f>=HYPERLINK("10.175.1.14\MWEB.12\BT\EntityDetails.10.175.1.14.MWEB.12.-newsplus-ca.906.xlsx", "&lt;Detail&gt;")</f>
      </c>
      <c r="X90" s="1">
        <f>=HYPERLINK("10.175.1.14\MWEB.12\BT\MetricGraphs.BT.10.175.1.14.MWEB.12.xlsx", "&lt;Metrics&gt;")</f>
      </c>
      <c r="Y90" s="1">
        <f>=HYPERLINK("10.175.1.14\MWEB.12\BT\FlameGraph.BT.10.175.1.14.MWEB.12.-newsplus-ca.906.svg", "&lt;FlGraph&gt;")</f>
      </c>
      <c r="Z90" s="1">
        <f>=HYPERLINK("10.175.1.14\MWEB.12\BT\FlameChart.BT.10.175.1.14.MWEB.12.-newsplus-ca.906.svg", "&lt;FlChart&gt;")</f>
      </c>
      <c r="AA90" s="0" t="s">
        <v>107</v>
      </c>
      <c r="AB90" s="0" t="s">
        <v>108</v>
      </c>
      <c r="AC90" s="0" t="s">
        <v>162</v>
      </c>
      <c r="AD90" s="0" t="s">
        <v>366</v>
      </c>
      <c r="AE90" s="0" t="s">
        <v>109</v>
      </c>
    </row>
    <row r="91">
      <c r="A91" s="0" t="s">
        <v>28</v>
      </c>
      <c r="B91" s="0" t="s">
        <v>30</v>
      </c>
      <c r="C91" s="0" t="s">
        <v>139</v>
      </c>
      <c r="D91" s="0" t="s">
        <v>367</v>
      </c>
      <c r="E91" s="0" t="s">
        <v>223</v>
      </c>
      <c r="F91" s="0">
        <v>0</v>
      </c>
      <c r="G91" s="0" t="s">
        <v>106</v>
      </c>
      <c r="H91" s="0">
        <v>0</v>
      </c>
      <c r="I91" s="0">
        <v>0</v>
      </c>
      <c r="J91" s="0">
        <v>0</v>
      </c>
      <c r="K91" s="0">
        <v>0</v>
      </c>
      <c r="L91" s="0">
        <v>0</v>
      </c>
      <c r="M91" s="0">
        <v>0</v>
      </c>
      <c r="N91" s="0" t="b">
        <v>0</v>
      </c>
      <c r="O91" s="2">
        <v>44613.583333333336</v>
      </c>
      <c r="P91" s="2">
        <v>44613.625</v>
      </c>
      <c r="Q91" s="2">
        <v>44613.208333333336</v>
      </c>
      <c r="R91" s="2">
        <v>44613.25</v>
      </c>
      <c r="S91" s="0">
        <v>60</v>
      </c>
      <c r="T91" s="0">
        <v>12</v>
      </c>
      <c r="U91" s="0">
        <v>35</v>
      </c>
      <c r="V91" s="0">
        <v>299</v>
      </c>
      <c r="W91" s="1">
        <f>=HYPERLINK("10.175.1.14\MWEB.12\BT\EntityDetails.10.175.1.14.MWEB.12.-newsplus-ca.299.xlsx", "&lt;Detail&gt;")</f>
      </c>
      <c r="X91" s="1">
        <f>=HYPERLINK("10.175.1.14\MWEB.12\BT\MetricGraphs.BT.10.175.1.14.MWEB.12.xlsx", "&lt;Metrics&gt;")</f>
      </c>
      <c r="Y91" s="1">
        <f>=HYPERLINK("10.175.1.14\MWEB.12\BT\FlameGraph.BT.10.175.1.14.MWEB.12.-newsplus-ca.299.svg", "&lt;FlGraph&gt;")</f>
      </c>
      <c r="Z91" s="1">
        <f>=HYPERLINK("10.175.1.14\MWEB.12\BT\FlameChart.BT.10.175.1.14.MWEB.12.-newsplus-ca.299.svg", "&lt;FlChart&gt;")</f>
      </c>
      <c r="AA91" s="0" t="s">
        <v>107</v>
      </c>
      <c r="AB91" s="0" t="s">
        <v>108</v>
      </c>
      <c r="AC91" s="0" t="s">
        <v>142</v>
      </c>
      <c r="AD91" s="0" t="s">
        <v>368</v>
      </c>
      <c r="AE91" s="0" t="s">
        <v>109</v>
      </c>
    </row>
    <row r="92">
      <c r="A92" s="0" t="s">
        <v>28</v>
      </c>
      <c r="B92" s="0" t="s">
        <v>30</v>
      </c>
      <c r="C92" s="0" t="s">
        <v>139</v>
      </c>
      <c r="D92" s="0" t="s">
        <v>369</v>
      </c>
      <c r="E92" s="0" t="s">
        <v>223</v>
      </c>
      <c r="F92" s="0">
        <v>0</v>
      </c>
      <c r="G92" s="0" t="s">
        <v>106</v>
      </c>
      <c r="H92" s="0">
        <v>0</v>
      </c>
      <c r="I92" s="0">
        <v>0</v>
      </c>
      <c r="J92" s="0">
        <v>0</v>
      </c>
      <c r="K92" s="0">
        <v>0</v>
      </c>
      <c r="L92" s="0">
        <v>0</v>
      </c>
      <c r="M92" s="0">
        <v>0</v>
      </c>
      <c r="N92" s="0" t="b">
        <v>0</v>
      </c>
      <c r="O92" s="2">
        <v>44613.583333333336</v>
      </c>
      <c r="P92" s="2">
        <v>44613.625</v>
      </c>
      <c r="Q92" s="2">
        <v>44613.208333333336</v>
      </c>
      <c r="R92" s="2">
        <v>44613.25</v>
      </c>
      <c r="S92" s="0">
        <v>60</v>
      </c>
      <c r="T92" s="0">
        <v>12</v>
      </c>
      <c r="U92" s="0">
        <v>35</v>
      </c>
      <c r="V92" s="0">
        <v>395</v>
      </c>
      <c r="W92" s="1">
        <f>=HYPERLINK("10.175.1.14\MWEB.12\BT\EntityDetails.10.175.1.14.MWEB.12.-newsplus-co.395.xlsx", "&lt;Detail&gt;")</f>
      </c>
      <c r="X92" s="1">
        <f>=HYPERLINK("10.175.1.14\MWEB.12\BT\MetricGraphs.BT.10.175.1.14.MWEB.12.xlsx", "&lt;Metrics&gt;")</f>
      </c>
      <c r="Y92" s="1">
        <f>=HYPERLINK("10.175.1.14\MWEB.12\BT\FlameGraph.BT.10.175.1.14.MWEB.12.-newsplus-co.395.svg", "&lt;FlGraph&gt;")</f>
      </c>
      <c r="Z92" s="1">
        <f>=HYPERLINK("10.175.1.14\MWEB.12\BT\FlameChart.BT.10.175.1.14.MWEB.12.-newsplus-co.395.svg", "&lt;FlChart&gt;")</f>
      </c>
      <c r="AA92" s="0" t="s">
        <v>107</v>
      </c>
      <c r="AB92" s="0" t="s">
        <v>108</v>
      </c>
      <c r="AC92" s="0" t="s">
        <v>142</v>
      </c>
      <c r="AD92" s="0" t="s">
        <v>370</v>
      </c>
      <c r="AE92" s="0" t="s">
        <v>109</v>
      </c>
    </row>
    <row r="93">
      <c r="A93" s="0" t="s">
        <v>28</v>
      </c>
      <c r="B93" s="0" t="s">
        <v>30</v>
      </c>
      <c r="C93" s="0" t="s">
        <v>139</v>
      </c>
      <c r="D93" s="0" t="s">
        <v>371</v>
      </c>
      <c r="E93" s="0" t="s">
        <v>223</v>
      </c>
      <c r="F93" s="0">
        <v>0</v>
      </c>
      <c r="G93" s="0" t="s">
        <v>106</v>
      </c>
      <c r="H93" s="0">
        <v>0</v>
      </c>
      <c r="I93" s="0">
        <v>0</v>
      </c>
      <c r="J93" s="0">
        <v>0</v>
      </c>
      <c r="K93" s="0">
        <v>0</v>
      </c>
      <c r="L93" s="0">
        <v>0</v>
      </c>
      <c r="M93" s="0">
        <v>0</v>
      </c>
      <c r="N93" s="0" t="b">
        <v>0</v>
      </c>
      <c r="O93" s="2">
        <v>44613.583333333336</v>
      </c>
      <c r="P93" s="2">
        <v>44613.625</v>
      </c>
      <c r="Q93" s="2">
        <v>44613.208333333336</v>
      </c>
      <c r="R93" s="2">
        <v>44613.25</v>
      </c>
      <c r="S93" s="0">
        <v>60</v>
      </c>
      <c r="T93" s="0">
        <v>12</v>
      </c>
      <c r="U93" s="0">
        <v>35</v>
      </c>
      <c r="V93" s="0">
        <v>262</v>
      </c>
      <c r="W93" s="1">
        <f>=HYPERLINK("10.175.1.14\MWEB.12\BT\EntityDetails.10.175.1.14.MWEB.12.-newsplus-co.262.xlsx", "&lt;Detail&gt;")</f>
      </c>
      <c r="X93" s="1">
        <f>=HYPERLINK("10.175.1.14\MWEB.12\BT\MetricGraphs.BT.10.175.1.14.MWEB.12.xlsx", "&lt;Metrics&gt;")</f>
      </c>
      <c r="Y93" s="1">
        <f>=HYPERLINK("10.175.1.14\MWEB.12\BT\FlameGraph.BT.10.175.1.14.MWEB.12.-newsplus-co.262.svg", "&lt;FlGraph&gt;")</f>
      </c>
      <c r="Z93" s="1">
        <f>=HYPERLINK("10.175.1.14\MWEB.12\BT\FlameChart.BT.10.175.1.14.MWEB.12.-newsplus-co.262.svg", "&lt;FlChart&gt;")</f>
      </c>
      <c r="AA93" s="0" t="s">
        <v>107</v>
      </c>
      <c r="AB93" s="0" t="s">
        <v>108</v>
      </c>
      <c r="AC93" s="0" t="s">
        <v>142</v>
      </c>
      <c r="AD93" s="0" t="s">
        <v>372</v>
      </c>
      <c r="AE93" s="0" t="s">
        <v>109</v>
      </c>
    </row>
    <row r="94">
      <c r="A94" s="0" t="s">
        <v>28</v>
      </c>
      <c r="B94" s="0" t="s">
        <v>30</v>
      </c>
      <c r="C94" s="0" t="s">
        <v>161</v>
      </c>
      <c r="D94" s="0" t="s">
        <v>371</v>
      </c>
      <c r="E94" s="0" t="s">
        <v>223</v>
      </c>
      <c r="F94" s="0">
        <v>0</v>
      </c>
      <c r="G94" s="0" t="s">
        <v>106</v>
      </c>
      <c r="H94" s="0">
        <v>0</v>
      </c>
      <c r="I94" s="0">
        <v>0</v>
      </c>
      <c r="J94" s="0">
        <v>0</v>
      </c>
      <c r="K94" s="0">
        <v>0</v>
      </c>
      <c r="L94" s="0">
        <v>0</v>
      </c>
      <c r="M94" s="0">
        <v>0</v>
      </c>
      <c r="N94" s="0" t="b">
        <v>0</v>
      </c>
      <c r="O94" s="2">
        <v>44613.583333333336</v>
      </c>
      <c r="P94" s="2">
        <v>44613.625</v>
      </c>
      <c r="Q94" s="2">
        <v>44613.208333333336</v>
      </c>
      <c r="R94" s="2">
        <v>44613.25</v>
      </c>
      <c r="S94" s="0">
        <v>60</v>
      </c>
      <c r="T94" s="0">
        <v>12</v>
      </c>
      <c r="U94" s="0">
        <v>48</v>
      </c>
      <c r="V94" s="0">
        <v>907</v>
      </c>
      <c r="W94" s="1">
        <f>=HYPERLINK("10.175.1.14\MWEB.12\BT\EntityDetails.10.175.1.14.MWEB.12.-newsplus-co.907.xlsx", "&lt;Detail&gt;")</f>
      </c>
      <c r="X94" s="1">
        <f>=HYPERLINK("10.175.1.14\MWEB.12\BT\MetricGraphs.BT.10.175.1.14.MWEB.12.xlsx", "&lt;Metrics&gt;")</f>
      </c>
      <c r="Y94" s="1">
        <f>=HYPERLINK("10.175.1.14\MWEB.12\BT\FlameGraph.BT.10.175.1.14.MWEB.12.-newsplus-co.907.svg", "&lt;FlGraph&gt;")</f>
      </c>
      <c r="Z94" s="1">
        <f>=HYPERLINK("10.175.1.14\MWEB.12\BT\FlameChart.BT.10.175.1.14.MWEB.12.-newsplus-co.907.svg", "&lt;FlChart&gt;")</f>
      </c>
      <c r="AA94" s="0" t="s">
        <v>107</v>
      </c>
      <c r="AB94" s="0" t="s">
        <v>108</v>
      </c>
      <c r="AC94" s="0" t="s">
        <v>162</v>
      </c>
      <c r="AD94" s="0" t="s">
        <v>373</v>
      </c>
      <c r="AE94" s="0" t="s">
        <v>109</v>
      </c>
    </row>
    <row r="95">
      <c r="A95" s="0" t="s">
        <v>28</v>
      </c>
      <c r="B95" s="0" t="s">
        <v>30</v>
      </c>
      <c r="C95" s="0" t="s">
        <v>139</v>
      </c>
      <c r="D95" s="0" t="s">
        <v>374</v>
      </c>
      <c r="E95" s="0" t="s">
        <v>223</v>
      </c>
      <c r="F95" s="0">
        <v>0</v>
      </c>
      <c r="G95" s="0" t="s">
        <v>106</v>
      </c>
      <c r="H95" s="0">
        <v>0</v>
      </c>
      <c r="I95" s="0">
        <v>0</v>
      </c>
      <c r="J95" s="0">
        <v>0</v>
      </c>
      <c r="K95" s="0">
        <v>0</v>
      </c>
      <c r="L95" s="0">
        <v>0</v>
      </c>
      <c r="M95" s="0">
        <v>0</v>
      </c>
      <c r="N95" s="0" t="b">
        <v>0</v>
      </c>
      <c r="O95" s="2">
        <v>44613.583333333336</v>
      </c>
      <c r="P95" s="2">
        <v>44613.625</v>
      </c>
      <c r="Q95" s="2">
        <v>44613.208333333336</v>
      </c>
      <c r="R95" s="2">
        <v>44613.25</v>
      </c>
      <c r="S95" s="0">
        <v>60</v>
      </c>
      <c r="T95" s="0">
        <v>12</v>
      </c>
      <c r="U95" s="0">
        <v>35</v>
      </c>
      <c r="V95" s="0">
        <v>119</v>
      </c>
      <c r="W95" s="1">
        <f>=HYPERLINK("10.175.1.14\MWEB.12\BT\EntityDetails.10.175.1.14.MWEB.12.-newsplus-ec.119.xlsx", "&lt;Detail&gt;")</f>
      </c>
      <c r="X95" s="1">
        <f>=HYPERLINK("10.175.1.14\MWEB.12\BT\MetricGraphs.BT.10.175.1.14.MWEB.12.xlsx", "&lt;Metrics&gt;")</f>
      </c>
      <c r="Y95" s="1">
        <f>=HYPERLINK("10.175.1.14\MWEB.12\BT\FlameGraph.BT.10.175.1.14.MWEB.12.-newsplus-ec.119.svg", "&lt;FlGraph&gt;")</f>
      </c>
      <c r="Z95" s="1">
        <f>=HYPERLINK("10.175.1.14\MWEB.12\BT\FlameChart.BT.10.175.1.14.MWEB.12.-newsplus-ec.119.svg", "&lt;FlChart&gt;")</f>
      </c>
      <c r="AA95" s="0" t="s">
        <v>107</v>
      </c>
      <c r="AB95" s="0" t="s">
        <v>108</v>
      </c>
      <c r="AC95" s="0" t="s">
        <v>142</v>
      </c>
      <c r="AD95" s="0" t="s">
        <v>375</v>
      </c>
      <c r="AE95" s="0" t="s">
        <v>109</v>
      </c>
    </row>
    <row r="96">
      <c r="A96" s="0" t="s">
        <v>28</v>
      </c>
      <c r="B96" s="0" t="s">
        <v>30</v>
      </c>
      <c r="C96" s="0" t="s">
        <v>161</v>
      </c>
      <c r="D96" s="0" t="s">
        <v>374</v>
      </c>
      <c r="E96" s="0" t="s">
        <v>223</v>
      </c>
      <c r="F96" s="0">
        <v>0</v>
      </c>
      <c r="G96" s="0" t="s">
        <v>106</v>
      </c>
      <c r="H96" s="0">
        <v>0</v>
      </c>
      <c r="I96" s="0">
        <v>0</v>
      </c>
      <c r="J96" s="0">
        <v>0</v>
      </c>
      <c r="K96" s="0">
        <v>0</v>
      </c>
      <c r="L96" s="0">
        <v>0</v>
      </c>
      <c r="M96" s="0">
        <v>0</v>
      </c>
      <c r="N96" s="0" t="b">
        <v>0</v>
      </c>
      <c r="O96" s="2">
        <v>44613.583333333336</v>
      </c>
      <c r="P96" s="2">
        <v>44613.625</v>
      </c>
      <c r="Q96" s="2">
        <v>44613.208333333336</v>
      </c>
      <c r="R96" s="2">
        <v>44613.25</v>
      </c>
      <c r="S96" s="0">
        <v>60</v>
      </c>
      <c r="T96" s="0">
        <v>12</v>
      </c>
      <c r="U96" s="0">
        <v>48</v>
      </c>
      <c r="V96" s="0">
        <v>905</v>
      </c>
      <c r="W96" s="1">
        <f>=HYPERLINK("10.175.1.14\MWEB.12\BT\EntityDetails.10.175.1.14.MWEB.12.-newsplus-ec.905.xlsx", "&lt;Detail&gt;")</f>
      </c>
      <c r="X96" s="1">
        <f>=HYPERLINK("10.175.1.14\MWEB.12\BT\MetricGraphs.BT.10.175.1.14.MWEB.12.xlsx", "&lt;Metrics&gt;")</f>
      </c>
      <c r="Y96" s="1">
        <f>=HYPERLINK("10.175.1.14\MWEB.12\BT\FlameGraph.BT.10.175.1.14.MWEB.12.-newsplus-ec.905.svg", "&lt;FlGraph&gt;")</f>
      </c>
      <c r="Z96" s="1">
        <f>=HYPERLINK("10.175.1.14\MWEB.12\BT\FlameChart.BT.10.175.1.14.MWEB.12.-newsplus-ec.905.svg", "&lt;FlChart&gt;")</f>
      </c>
      <c r="AA96" s="0" t="s">
        <v>107</v>
      </c>
      <c r="AB96" s="0" t="s">
        <v>108</v>
      </c>
      <c r="AC96" s="0" t="s">
        <v>162</v>
      </c>
      <c r="AD96" s="0" t="s">
        <v>376</v>
      </c>
      <c r="AE96" s="0" t="s">
        <v>109</v>
      </c>
    </row>
    <row r="97">
      <c r="A97" s="0" t="s">
        <v>28</v>
      </c>
      <c r="B97" s="0" t="s">
        <v>30</v>
      </c>
      <c r="C97" s="0" t="s">
        <v>139</v>
      </c>
      <c r="D97" s="0" t="s">
        <v>377</v>
      </c>
      <c r="E97" s="0" t="s">
        <v>223</v>
      </c>
      <c r="F97" s="0">
        <v>0</v>
      </c>
      <c r="G97" s="0" t="s">
        <v>106</v>
      </c>
      <c r="H97" s="0">
        <v>0</v>
      </c>
      <c r="I97" s="0">
        <v>0</v>
      </c>
      <c r="J97" s="0">
        <v>0</v>
      </c>
      <c r="K97" s="0">
        <v>0</v>
      </c>
      <c r="L97" s="0">
        <v>0</v>
      </c>
      <c r="M97" s="0">
        <v>0</v>
      </c>
      <c r="N97" s="0" t="b">
        <v>0</v>
      </c>
      <c r="O97" s="2">
        <v>44613.583333333336</v>
      </c>
      <c r="P97" s="2">
        <v>44613.625</v>
      </c>
      <c r="Q97" s="2">
        <v>44613.208333333336</v>
      </c>
      <c r="R97" s="2">
        <v>44613.25</v>
      </c>
      <c r="S97" s="0">
        <v>60</v>
      </c>
      <c r="T97" s="0">
        <v>12</v>
      </c>
      <c r="U97" s="0">
        <v>35</v>
      </c>
      <c r="V97" s="0">
        <v>430</v>
      </c>
      <c r="W97" s="1">
        <f>=HYPERLINK("10.175.1.14\MWEB.12\BT\EntityDetails.10.175.1.14.MWEB.12.-newsplus-ec.430.xlsx", "&lt;Detail&gt;")</f>
      </c>
      <c r="X97" s="1">
        <f>=HYPERLINK("10.175.1.14\MWEB.12\BT\MetricGraphs.BT.10.175.1.14.MWEB.12.xlsx", "&lt;Metrics&gt;")</f>
      </c>
      <c r="Y97" s="1">
        <f>=HYPERLINK("10.175.1.14\MWEB.12\BT\FlameGraph.BT.10.175.1.14.MWEB.12.-newsplus-ec.430.svg", "&lt;FlGraph&gt;")</f>
      </c>
      <c r="Z97" s="1">
        <f>=HYPERLINK("10.175.1.14\MWEB.12\BT\FlameChart.BT.10.175.1.14.MWEB.12.-newsplus-ec.430.svg", "&lt;FlChart&gt;")</f>
      </c>
      <c r="AA97" s="0" t="s">
        <v>107</v>
      </c>
      <c r="AB97" s="0" t="s">
        <v>108</v>
      </c>
      <c r="AC97" s="0" t="s">
        <v>142</v>
      </c>
      <c r="AD97" s="0" t="s">
        <v>378</v>
      </c>
      <c r="AE97" s="0" t="s">
        <v>109</v>
      </c>
    </row>
    <row r="98">
      <c r="A98" s="0" t="s">
        <v>28</v>
      </c>
      <c r="B98" s="0" t="s">
        <v>30</v>
      </c>
      <c r="C98" s="0" t="s">
        <v>139</v>
      </c>
      <c r="D98" s="0" t="s">
        <v>379</v>
      </c>
      <c r="E98" s="0" t="s">
        <v>223</v>
      </c>
      <c r="F98" s="0">
        <v>0</v>
      </c>
      <c r="G98" s="0" t="s">
        <v>106</v>
      </c>
      <c r="H98" s="0">
        <v>0</v>
      </c>
      <c r="I98" s="0">
        <v>0</v>
      </c>
      <c r="J98" s="0">
        <v>0</v>
      </c>
      <c r="K98" s="0">
        <v>0</v>
      </c>
      <c r="L98" s="0">
        <v>0</v>
      </c>
      <c r="M98" s="0">
        <v>0</v>
      </c>
      <c r="N98" s="0" t="b">
        <v>0</v>
      </c>
      <c r="O98" s="2">
        <v>44613.583333333336</v>
      </c>
      <c r="P98" s="2">
        <v>44613.625</v>
      </c>
      <c r="Q98" s="2">
        <v>44613.208333333336</v>
      </c>
      <c r="R98" s="2">
        <v>44613.25</v>
      </c>
      <c r="S98" s="0">
        <v>60</v>
      </c>
      <c r="T98" s="0">
        <v>12</v>
      </c>
      <c r="U98" s="0">
        <v>35</v>
      </c>
      <c r="V98" s="0">
        <v>194</v>
      </c>
      <c r="W98" s="1">
        <f>=HYPERLINK("10.175.1.14\MWEB.12\BT\EntityDetails.10.175.1.14.MWEB.12.-newsplus-er.194.xlsx", "&lt;Detail&gt;")</f>
      </c>
      <c r="X98" s="1">
        <f>=HYPERLINK("10.175.1.14\MWEB.12\BT\MetricGraphs.BT.10.175.1.14.MWEB.12.xlsx", "&lt;Metrics&gt;")</f>
      </c>
      <c r="Y98" s="1">
        <f>=HYPERLINK("10.175.1.14\MWEB.12\BT\FlameGraph.BT.10.175.1.14.MWEB.12.-newsplus-er.194.svg", "&lt;FlGraph&gt;")</f>
      </c>
      <c r="Z98" s="1">
        <f>=HYPERLINK("10.175.1.14\MWEB.12\BT\FlameChart.BT.10.175.1.14.MWEB.12.-newsplus-er.194.svg", "&lt;FlChart&gt;")</f>
      </c>
      <c r="AA98" s="0" t="s">
        <v>107</v>
      </c>
      <c r="AB98" s="0" t="s">
        <v>108</v>
      </c>
      <c r="AC98" s="0" t="s">
        <v>142</v>
      </c>
      <c r="AD98" s="0" t="s">
        <v>380</v>
      </c>
      <c r="AE98" s="0" t="s">
        <v>109</v>
      </c>
    </row>
    <row r="99">
      <c r="A99" s="0" t="s">
        <v>28</v>
      </c>
      <c r="B99" s="0" t="s">
        <v>30</v>
      </c>
      <c r="C99" s="0" t="s">
        <v>161</v>
      </c>
      <c r="D99" s="0" t="s">
        <v>379</v>
      </c>
      <c r="E99" s="0" t="s">
        <v>223</v>
      </c>
      <c r="F99" s="0">
        <v>0</v>
      </c>
      <c r="G99" s="0" t="s">
        <v>106</v>
      </c>
      <c r="H99" s="0">
        <v>0</v>
      </c>
      <c r="I99" s="0">
        <v>0</v>
      </c>
      <c r="J99" s="0">
        <v>0</v>
      </c>
      <c r="K99" s="0">
        <v>0</v>
      </c>
      <c r="L99" s="0">
        <v>0</v>
      </c>
      <c r="M99" s="0">
        <v>0</v>
      </c>
      <c r="N99" s="0" t="b">
        <v>0</v>
      </c>
      <c r="O99" s="2">
        <v>44613.583333333336</v>
      </c>
      <c r="P99" s="2">
        <v>44613.625</v>
      </c>
      <c r="Q99" s="2">
        <v>44613.208333333336</v>
      </c>
      <c r="R99" s="2">
        <v>44613.25</v>
      </c>
      <c r="S99" s="0">
        <v>60</v>
      </c>
      <c r="T99" s="0">
        <v>12</v>
      </c>
      <c r="U99" s="0">
        <v>48</v>
      </c>
      <c r="V99" s="0">
        <v>724</v>
      </c>
      <c r="W99" s="1">
        <f>=HYPERLINK("10.175.1.14\MWEB.12\BT\EntityDetails.10.175.1.14.MWEB.12.-newsplus-er.724.xlsx", "&lt;Detail&gt;")</f>
      </c>
      <c r="X99" s="1">
        <f>=HYPERLINK("10.175.1.14\MWEB.12\BT\MetricGraphs.BT.10.175.1.14.MWEB.12.xlsx", "&lt;Metrics&gt;")</f>
      </c>
      <c r="Y99" s="1">
        <f>=HYPERLINK("10.175.1.14\MWEB.12\BT\FlameGraph.BT.10.175.1.14.MWEB.12.-newsplus-er.724.svg", "&lt;FlGraph&gt;")</f>
      </c>
      <c r="Z99" s="1">
        <f>=HYPERLINK("10.175.1.14\MWEB.12\BT\FlameChart.BT.10.175.1.14.MWEB.12.-newsplus-er.724.svg", "&lt;FlChart&gt;")</f>
      </c>
      <c r="AA99" s="0" t="s">
        <v>107</v>
      </c>
      <c r="AB99" s="0" t="s">
        <v>108</v>
      </c>
      <c r="AC99" s="0" t="s">
        <v>162</v>
      </c>
      <c r="AD99" s="0" t="s">
        <v>381</v>
      </c>
      <c r="AE99" s="0" t="s">
        <v>109</v>
      </c>
    </row>
    <row r="100">
      <c r="A100" s="0" t="s">
        <v>28</v>
      </c>
      <c r="B100" s="0" t="s">
        <v>30</v>
      </c>
      <c r="C100" s="0" t="s">
        <v>139</v>
      </c>
      <c r="D100" s="0" t="s">
        <v>382</v>
      </c>
      <c r="E100" s="0" t="s">
        <v>223</v>
      </c>
      <c r="F100" s="0">
        <v>0</v>
      </c>
      <c r="G100" s="0" t="s">
        <v>106</v>
      </c>
      <c r="H100" s="0">
        <v>0</v>
      </c>
      <c r="I100" s="0">
        <v>0</v>
      </c>
      <c r="J100" s="0">
        <v>0</v>
      </c>
      <c r="K100" s="0">
        <v>0</v>
      </c>
      <c r="L100" s="0">
        <v>0</v>
      </c>
      <c r="M100" s="0">
        <v>0</v>
      </c>
      <c r="N100" s="0" t="b">
        <v>0</v>
      </c>
      <c r="O100" s="2">
        <v>44613.583333333336</v>
      </c>
      <c r="P100" s="2">
        <v>44613.625</v>
      </c>
      <c r="Q100" s="2">
        <v>44613.208333333336</v>
      </c>
      <c r="R100" s="2">
        <v>44613.25</v>
      </c>
      <c r="S100" s="0">
        <v>60</v>
      </c>
      <c r="T100" s="0">
        <v>12</v>
      </c>
      <c r="U100" s="0">
        <v>35</v>
      </c>
      <c r="V100" s="0">
        <v>272</v>
      </c>
      <c r="W100" s="1">
        <f>=HYPERLINK("10.175.1.14\MWEB.12\BT\EntityDetails.10.175.1.14.MWEB.12.-newsplus-er.272.xlsx", "&lt;Detail&gt;")</f>
      </c>
      <c r="X100" s="1">
        <f>=HYPERLINK("10.175.1.14\MWEB.12\BT\MetricGraphs.BT.10.175.1.14.MWEB.12.xlsx", "&lt;Metrics&gt;")</f>
      </c>
      <c r="Y100" s="1">
        <f>=HYPERLINK("10.175.1.14\MWEB.12\BT\FlameGraph.BT.10.175.1.14.MWEB.12.-newsplus-er.272.svg", "&lt;FlGraph&gt;")</f>
      </c>
      <c r="Z100" s="1">
        <f>=HYPERLINK("10.175.1.14\MWEB.12\BT\FlameChart.BT.10.175.1.14.MWEB.12.-newsplus-er.272.svg", "&lt;FlChart&gt;")</f>
      </c>
      <c r="AA100" s="0" t="s">
        <v>107</v>
      </c>
      <c r="AB100" s="0" t="s">
        <v>108</v>
      </c>
      <c r="AC100" s="0" t="s">
        <v>142</v>
      </c>
      <c r="AD100" s="0" t="s">
        <v>383</v>
      </c>
      <c r="AE100" s="0" t="s">
        <v>109</v>
      </c>
    </row>
    <row r="101">
      <c r="A101" s="0" t="s">
        <v>28</v>
      </c>
      <c r="B101" s="0" t="s">
        <v>30</v>
      </c>
      <c r="C101" s="0" t="s">
        <v>161</v>
      </c>
      <c r="D101" s="0" t="s">
        <v>382</v>
      </c>
      <c r="E101" s="0" t="s">
        <v>223</v>
      </c>
      <c r="F101" s="0">
        <v>0</v>
      </c>
      <c r="G101" s="0" t="s">
        <v>106</v>
      </c>
      <c r="H101" s="0">
        <v>0</v>
      </c>
      <c r="I101" s="0">
        <v>0</v>
      </c>
      <c r="J101" s="0">
        <v>0</v>
      </c>
      <c r="K101" s="0">
        <v>0</v>
      </c>
      <c r="L101" s="0">
        <v>0</v>
      </c>
      <c r="M101" s="0">
        <v>0</v>
      </c>
      <c r="N101" s="0" t="b">
        <v>0</v>
      </c>
      <c r="O101" s="2">
        <v>44613.583333333336</v>
      </c>
      <c r="P101" s="2">
        <v>44613.625</v>
      </c>
      <c r="Q101" s="2">
        <v>44613.208333333336</v>
      </c>
      <c r="R101" s="2">
        <v>44613.25</v>
      </c>
      <c r="S101" s="0">
        <v>60</v>
      </c>
      <c r="T101" s="0">
        <v>12</v>
      </c>
      <c r="U101" s="0">
        <v>48</v>
      </c>
      <c r="V101" s="0">
        <v>925</v>
      </c>
      <c r="W101" s="1">
        <f>=HYPERLINK("10.175.1.14\MWEB.12\BT\EntityDetails.10.175.1.14.MWEB.12.-newsplus-er.925.xlsx", "&lt;Detail&gt;")</f>
      </c>
      <c r="X101" s="1">
        <f>=HYPERLINK("10.175.1.14\MWEB.12\BT\MetricGraphs.BT.10.175.1.14.MWEB.12.xlsx", "&lt;Metrics&gt;")</f>
      </c>
      <c r="Y101" s="1">
        <f>=HYPERLINK("10.175.1.14\MWEB.12\BT\FlameGraph.BT.10.175.1.14.MWEB.12.-newsplus-er.925.svg", "&lt;FlGraph&gt;")</f>
      </c>
      <c r="Z101" s="1">
        <f>=HYPERLINK("10.175.1.14\MWEB.12\BT\FlameChart.BT.10.175.1.14.MWEB.12.-newsplus-er.925.svg", "&lt;FlChart&gt;")</f>
      </c>
      <c r="AA101" s="0" t="s">
        <v>107</v>
      </c>
      <c r="AB101" s="0" t="s">
        <v>108</v>
      </c>
      <c r="AC101" s="0" t="s">
        <v>162</v>
      </c>
      <c r="AD101" s="0" t="s">
        <v>384</v>
      </c>
      <c r="AE101" s="0" t="s">
        <v>109</v>
      </c>
    </row>
    <row r="102">
      <c r="A102" s="0" t="s">
        <v>28</v>
      </c>
      <c r="B102" s="0" t="s">
        <v>30</v>
      </c>
      <c r="C102" s="0" t="s">
        <v>139</v>
      </c>
      <c r="D102" s="0" t="s">
        <v>385</v>
      </c>
      <c r="E102" s="0" t="s">
        <v>223</v>
      </c>
      <c r="F102" s="0">
        <v>0</v>
      </c>
      <c r="G102" s="0" t="s">
        <v>106</v>
      </c>
      <c r="H102" s="0">
        <v>0</v>
      </c>
      <c r="I102" s="0">
        <v>0</v>
      </c>
      <c r="J102" s="0">
        <v>0</v>
      </c>
      <c r="K102" s="0">
        <v>0</v>
      </c>
      <c r="L102" s="0">
        <v>0</v>
      </c>
      <c r="M102" s="0">
        <v>0</v>
      </c>
      <c r="N102" s="0" t="b">
        <v>0</v>
      </c>
      <c r="O102" s="2">
        <v>44613.583333333336</v>
      </c>
      <c r="P102" s="2">
        <v>44613.625</v>
      </c>
      <c r="Q102" s="2">
        <v>44613.208333333336</v>
      </c>
      <c r="R102" s="2">
        <v>44613.25</v>
      </c>
      <c r="S102" s="0">
        <v>60</v>
      </c>
      <c r="T102" s="0">
        <v>12</v>
      </c>
      <c r="U102" s="0">
        <v>35</v>
      </c>
      <c r="V102" s="0">
        <v>245</v>
      </c>
      <c r="W102" s="1">
        <f>=HYPERLINK("10.175.1.14\MWEB.12\BT\EntityDetails.10.175.1.14.MWEB.12.-newsplus-he.245.xlsx", "&lt;Detail&gt;")</f>
      </c>
      <c r="X102" s="1">
        <f>=HYPERLINK("10.175.1.14\MWEB.12\BT\MetricGraphs.BT.10.175.1.14.MWEB.12.xlsx", "&lt;Metrics&gt;")</f>
      </c>
      <c r="Y102" s="1">
        <f>=HYPERLINK("10.175.1.14\MWEB.12\BT\FlameGraph.BT.10.175.1.14.MWEB.12.-newsplus-he.245.svg", "&lt;FlGraph&gt;")</f>
      </c>
      <c r="Z102" s="1">
        <f>=HYPERLINK("10.175.1.14\MWEB.12\BT\FlameChart.BT.10.175.1.14.MWEB.12.-newsplus-he.245.svg", "&lt;FlChart&gt;")</f>
      </c>
      <c r="AA102" s="0" t="s">
        <v>107</v>
      </c>
      <c r="AB102" s="0" t="s">
        <v>108</v>
      </c>
      <c r="AC102" s="0" t="s">
        <v>142</v>
      </c>
      <c r="AD102" s="0" t="s">
        <v>386</v>
      </c>
      <c r="AE102" s="0" t="s">
        <v>109</v>
      </c>
    </row>
    <row r="103">
      <c r="A103" s="0" t="s">
        <v>28</v>
      </c>
      <c r="B103" s="0" t="s">
        <v>30</v>
      </c>
      <c r="C103" s="0" t="s">
        <v>161</v>
      </c>
      <c r="D103" s="0" t="s">
        <v>385</v>
      </c>
      <c r="E103" s="0" t="s">
        <v>223</v>
      </c>
      <c r="F103" s="0">
        <v>0</v>
      </c>
      <c r="G103" s="0" t="s">
        <v>106</v>
      </c>
      <c r="H103" s="0">
        <v>0</v>
      </c>
      <c r="I103" s="0">
        <v>0</v>
      </c>
      <c r="J103" s="0">
        <v>0</v>
      </c>
      <c r="K103" s="0">
        <v>0</v>
      </c>
      <c r="L103" s="0">
        <v>0</v>
      </c>
      <c r="M103" s="0">
        <v>0</v>
      </c>
      <c r="N103" s="0" t="b">
        <v>0</v>
      </c>
      <c r="O103" s="2">
        <v>44613.583333333336</v>
      </c>
      <c r="P103" s="2">
        <v>44613.625</v>
      </c>
      <c r="Q103" s="2">
        <v>44613.208333333336</v>
      </c>
      <c r="R103" s="2">
        <v>44613.25</v>
      </c>
      <c r="S103" s="0">
        <v>60</v>
      </c>
      <c r="T103" s="0">
        <v>12</v>
      </c>
      <c r="U103" s="0">
        <v>48</v>
      </c>
      <c r="V103" s="0">
        <v>687</v>
      </c>
      <c r="W103" s="1">
        <f>=HYPERLINK("10.175.1.14\MWEB.12\BT\EntityDetails.10.175.1.14.MWEB.12.-newsplus-he.687.xlsx", "&lt;Detail&gt;")</f>
      </c>
      <c r="X103" s="1">
        <f>=HYPERLINK("10.175.1.14\MWEB.12\BT\MetricGraphs.BT.10.175.1.14.MWEB.12.xlsx", "&lt;Metrics&gt;")</f>
      </c>
      <c r="Y103" s="1">
        <f>=HYPERLINK("10.175.1.14\MWEB.12\BT\FlameGraph.BT.10.175.1.14.MWEB.12.-newsplus-he.687.svg", "&lt;FlGraph&gt;")</f>
      </c>
      <c r="Z103" s="1">
        <f>=HYPERLINK("10.175.1.14\MWEB.12\BT\FlameChart.BT.10.175.1.14.MWEB.12.-newsplus-he.687.svg", "&lt;FlChart&gt;")</f>
      </c>
      <c r="AA103" s="0" t="s">
        <v>107</v>
      </c>
      <c r="AB103" s="0" t="s">
        <v>108</v>
      </c>
      <c r="AC103" s="0" t="s">
        <v>162</v>
      </c>
      <c r="AD103" s="0" t="s">
        <v>387</v>
      </c>
      <c r="AE103" s="0" t="s">
        <v>109</v>
      </c>
    </row>
    <row r="104">
      <c r="A104" s="0" t="s">
        <v>28</v>
      </c>
      <c r="B104" s="0" t="s">
        <v>30</v>
      </c>
      <c r="C104" s="0" t="s">
        <v>139</v>
      </c>
      <c r="D104" s="0" t="s">
        <v>388</v>
      </c>
      <c r="E104" s="0" t="s">
        <v>223</v>
      </c>
      <c r="F104" s="0">
        <v>0</v>
      </c>
      <c r="G104" s="0" t="s">
        <v>106</v>
      </c>
      <c r="H104" s="0">
        <v>0</v>
      </c>
      <c r="I104" s="0">
        <v>0</v>
      </c>
      <c r="J104" s="0">
        <v>0</v>
      </c>
      <c r="K104" s="0">
        <v>0</v>
      </c>
      <c r="L104" s="0">
        <v>0</v>
      </c>
      <c r="M104" s="0">
        <v>0</v>
      </c>
      <c r="N104" s="0" t="b">
        <v>0</v>
      </c>
      <c r="O104" s="2">
        <v>44613.583333333336</v>
      </c>
      <c r="P104" s="2">
        <v>44613.625</v>
      </c>
      <c r="Q104" s="2">
        <v>44613.208333333336</v>
      </c>
      <c r="R104" s="2">
        <v>44613.25</v>
      </c>
      <c r="S104" s="0">
        <v>60</v>
      </c>
      <c r="T104" s="0">
        <v>12</v>
      </c>
      <c r="U104" s="0">
        <v>35</v>
      </c>
      <c r="V104" s="0">
        <v>408</v>
      </c>
      <c r="W104" s="1">
        <f>=HYPERLINK("10.175.1.14\MWEB.12\BT\EntityDetails.10.175.1.14.MWEB.12.-newsplus-im.408.xlsx", "&lt;Detail&gt;")</f>
      </c>
      <c r="X104" s="1">
        <f>=HYPERLINK("10.175.1.14\MWEB.12\BT\MetricGraphs.BT.10.175.1.14.MWEB.12.xlsx", "&lt;Metrics&gt;")</f>
      </c>
      <c r="Y104" s="1">
        <f>=HYPERLINK("10.175.1.14\MWEB.12\BT\FlameGraph.BT.10.175.1.14.MWEB.12.-newsplus-im.408.svg", "&lt;FlGraph&gt;")</f>
      </c>
      <c r="Z104" s="1">
        <f>=HYPERLINK("10.175.1.14\MWEB.12\BT\FlameChart.BT.10.175.1.14.MWEB.12.-newsplus-im.408.svg", "&lt;FlChart&gt;")</f>
      </c>
      <c r="AA104" s="0" t="s">
        <v>107</v>
      </c>
      <c r="AB104" s="0" t="s">
        <v>108</v>
      </c>
      <c r="AC104" s="0" t="s">
        <v>142</v>
      </c>
      <c r="AD104" s="0" t="s">
        <v>389</v>
      </c>
      <c r="AE104" s="0" t="s">
        <v>109</v>
      </c>
    </row>
    <row r="105">
      <c r="A105" s="0" t="s">
        <v>28</v>
      </c>
      <c r="B105" s="0" t="s">
        <v>30</v>
      </c>
      <c r="C105" s="0" t="s">
        <v>161</v>
      </c>
      <c r="D105" s="0" t="s">
        <v>388</v>
      </c>
      <c r="E105" s="0" t="s">
        <v>223</v>
      </c>
      <c r="F105" s="0">
        <v>0</v>
      </c>
      <c r="G105" s="0" t="s">
        <v>106</v>
      </c>
      <c r="H105" s="0">
        <v>0</v>
      </c>
      <c r="I105" s="0">
        <v>0</v>
      </c>
      <c r="J105" s="0">
        <v>0</v>
      </c>
      <c r="K105" s="0">
        <v>0</v>
      </c>
      <c r="L105" s="0">
        <v>0</v>
      </c>
      <c r="M105" s="0">
        <v>0</v>
      </c>
      <c r="N105" s="0" t="b">
        <v>0</v>
      </c>
      <c r="O105" s="2">
        <v>44613.583333333336</v>
      </c>
      <c r="P105" s="2">
        <v>44613.625</v>
      </c>
      <c r="Q105" s="2">
        <v>44613.208333333336</v>
      </c>
      <c r="R105" s="2">
        <v>44613.25</v>
      </c>
      <c r="S105" s="0">
        <v>60</v>
      </c>
      <c r="T105" s="0">
        <v>12</v>
      </c>
      <c r="U105" s="0">
        <v>48</v>
      </c>
      <c r="V105" s="0">
        <v>898</v>
      </c>
      <c r="W105" s="1">
        <f>=HYPERLINK("10.175.1.14\MWEB.12\BT\EntityDetails.10.175.1.14.MWEB.12.-newsplus-im.898.xlsx", "&lt;Detail&gt;")</f>
      </c>
      <c r="X105" s="1">
        <f>=HYPERLINK("10.175.1.14\MWEB.12\BT\MetricGraphs.BT.10.175.1.14.MWEB.12.xlsx", "&lt;Metrics&gt;")</f>
      </c>
      <c r="Y105" s="1">
        <f>=HYPERLINK("10.175.1.14\MWEB.12\BT\FlameGraph.BT.10.175.1.14.MWEB.12.-newsplus-im.898.svg", "&lt;FlGraph&gt;")</f>
      </c>
      <c r="Z105" s="1">
        <f>=HYPERLINK("10.175.1.14\MWEB.12\BT\FlameChart.BT.10.175.1.14.MWEB.12.-newsplus-im.898.svg", "&lt;FlChart&gt;")</f>
      </c>
      <c r="AA105" s="0" t="s">
        <v>107</v>
      </c>
      <c r="AB105" s="0" t="s">
        <v>108</v>
      </c>
      <c r="AC105" s="0" t="s">
        <v>162</v>
      </c>
      <c r="AD105" s="0" t="s">
        <v>390</v>
      </c>
      <c r="AE105" s="0" t="s">
        <v>109</v>
      </c>
    </row>
    <row r="106">
      <c r="A106" s="0" t="s">
        <v>28</v>
      </c>
      <c r="B106" s="0" t="s">
        <v>30</v>
      </c>
      <c r="C106" s="0" t="s">
        <v>139</v>
      </c>
      <c r="D106" s="0" t="s">
        <v>391</v>
      </c>
      <c r="E106" s="0" t="s">
        <v>223</v>
      </c>
      <c r="F106" s="0">
        <v>0</v>
      </c>
      <c r="G106" s="0" t="s">
        <v>106</v>
      </c>
      <c r="H106" s="0">
        <v>0</v>
      </c>
      <c r="I106" s="0">
        <v>0</v>
      </c>
      <c r="J106" s="0">
        <v>0</v>
      </c>
      <c r="K106" s="0">
        <v>0</v>
      </c>
      <c r="L106" s="0">
        <v>0</v>
      </c>
      <c r="M106" s="0">
        <v>0</v>
      </c>
      <c r="N106" s="0" t="b">
        <v>0</v>
      </c>
      <c r="O106" s="2">
        <v>44613.583333333336</v>
      </c>
      <c r="P106" s="2">
        <v>44613.625</v>
      </c>
      <c r="Q106" s="2">
        <v>44613.208333333336</v>
      </c>
      <c r="R106" s="2">
        <v>44613.25</v>
      </c>
      <c r="S106" s="0">
        <v>60</v>
      </c>
      <c r="T106" s="0">
        <v>12</v>
      </c>
      <c r="U106" s="0">
        <v>35</v>
      </c>
      <c r="V106" s="0">
        <v>112</v>
      </c>
      <c r="W106" s="1">
        <f>=HYPERLINK("10.175.1.14\MWEB.12\BT\EntityDetails.10.175.1.14.MWEB.12.-newsplus-in.112.xlsx", "&lt;Detail&gt;")</f>
      </c>
      <c r="X106" s="1">
        <f>=HYPERLINK("10.175.1.14\MWEB.12\BT\MetricGraphs.BT.10.175.1.14.MWEB.12.xlsx", "&lt;Metrics&gt;")</f>
      </c>
      <c r="Y106" s="1">
        <f>=HYPERLINK("10.175.1.14\MWEB.12\BT\FlameGraph.BT.10.175.1.14.MWEB.12.-newsplus-in.112.svg", "&lt;FlGraph&gt;")</f>
      </c>
      <c r="Z106" s="1">
        <f>=HYPERLINK("10.175.1.14\MWEB.12\BT\FlameChart.BT.10.175.1.14.MWEB.12.-newsplus-in.112.svg", "&lt;FlChart&gt;")</f>
      </c>
      <c r="AA106" s="0" t="s">
        <v>107</v>
      </c>
      <c r="AB106" s="0" t="s">
        <v>108</v>
      </c>
      <c r="AC106" s="0" t="s">
        <v>142</v>
      </c>
      <c r="AD106" s="0" t="s">
        <v>392</v>
      </c>
      <c r="AE106" s="0" t="s">
        <v>109</v>
      </c>
    </row>
    <row r="107">
      <c r="A107" s="0" t="s">
        <v>28</v>
      </c>
      <c r="B107" s="0" t="s">
        <v>30</v>
      </c>
      <c r="C107" s="0" t="s">
        <v>161</v>
      </c>
      <c r="D107" s="0" t="s">
        <v>391</v>
      </c>
      <c r="E107" s="0" t="s">
        <v>223</v>
      </c>
      <c r="F107" s="0">
        <v>0</v>
      </c>
      <c r="G107" s="0" t="s">
        <v>106</v>
      </c>
      <c r="H107" s="0">
        <v>0</v>
      </c>
      <c r="I107" s="0">
        <v>0</v>
      </c>
      <c r="J107" s="0">
        <v>0</v>
      </c>
      <c r="K107" s="0">
        <v>0</v>
      </c>
      <c r="L107" s="0">
        <v>0</v>
      </c>
      <c r="M107" s="0">
        <v>0</v>
      </c>
      <c r="N107" s="0" t="b">
        <v>0</v>
      </c>
      <c r="O107" s="2">
        <v>44613.583333333336</v>
      </c>
      <c r="P107" s="2">
        <v>44613.625</v>
      </c>
      <c r="Q107" s="2">
        <v>44613.208333333336</v>
      </c>
      <c r="R107" s="2">
        <v>44613.25</v>
      </c>
      <c r="S107" s="0">
        <v>60</v>
      </c>
      <c r="T107" s="0">
        <v>12</v>
      </c>
      <c r="U107" s="0">
        <v>48</v>
      </c>
      <c r="V107" s="0">
        <v>768</v>
      </c>
      <c r="W107" s="1">
        <f>=HYPERLINK("10.175.1.14\MWEB.12\BT\EntityDetails.10.175.1.14.MWEB.12.-newsplus-in.768.xlsx", "&lt;Detail&gt;")</f>
      </c>
      <c r="X107" s="1">
        <f>=HYPERLINK("10.175.1.14\MWEB.12\BT\MetricGraphs.BT.10.175.1.14.MWEB.12.xlsx", "&lt;Metrics&gt;")</f>
      </c>
      <c r="Y107" s="1">
        <f>=HYPERLINK("10.175.1.14\MWEB.12\BT\FlameGraph.BT.10.175.1.14.MWEB.12.-newsplus-in.768.svg", "&lt;FlGraph&gt;")</f>
      </c>
      <c r="Z107" s="1">
        <f>=HYPERLINK("10.175.1.14\MWEB.12\BT\FlameChart.BT.10.175.1.14.MWEB.12.-newsplus-in.768.svg", "&lt;FlChart&gt;")</f>
      </c>
      <c r="AA107" s="0" t="s">
        <v>107</v>
      </c>
      <c r="AB107" s="0" t="s">
        <v>108</v>
      </c>
      <c r="AC107" s="0" t="s">
        <v>162</v>
      </c>
      <c r="AD107" s="0" t="s">
        <v>393</v>
      </c>
      <c r="AE107" s="0" t="s">
        <v>109</v>
      </c>
    </row>
    <row r="108">
      <c r="A108" s="0" t="s">
        <v>28</v>
      </c>
      <c r="B108" s="0" t="s">
        <v>30</v>
      </c>
      <c r="C108" s="0" t="s">
        <v>139</v>
      </c>
      <c r="D108" s="0" t="s">
        <v>394</v>
      </c>
      <c r="E108" s="0" t="s">
        <v>223</v>
      </c>
      <c r="F108" s="0">
        <v>0</v>
      </c>
      <c r="G108" s="0" t="s">
        <v>106</v>
      </c>
      <c r="H108" s="0">
        <v>0</v>
      </c>
      <c r="I108" s="0">
        <v>0</v>
      </c>
      <c r="J108" s="0">
        <v>0</v>
      </c>
      <c r="K108" s="0">
        <v>0</v>
      </c>
      <c r="L108" s="0">
        <v>0</v>
      </c>
      <c r="M108" s="0">
        <v>0</v>
      </c>
      <c r="N108" s="0" t="b">
        <v>0</v>
      </c>
      <c r="O108" s="2">
        <v>44613.583333333336</v>
      </c>
      <c r="P108" s="2">
        <v>44613.625</v>
      </c>
      <c r="Q108" s="2">
        <v>44613.208333333336</v>
      </c>
      <c r="R108" s="2">
        <v>44613.25</v>
      </c>
      <c r="S108" s="0">
        <v>60</v>
      </c>
      <c r="T108" s="0">
        <v>12</v>
      </c>
      <c r="U108" s="0">
        <v>35</v>
      </c>
      <c r="V108" s="0">
        <v>271</v>
      </c>
      <c r="W108" s="1">
        <f>=HYPERLINK("10.175.1.14\MWEB.12\BT\EntityDetails.10.175.1.14.MWEB.12.-newsplus-jr.271.xlsx", "&lt;Detail&gt;")</f>
      </c>
      <c r="X108" s="1">
        <f>=HYPERLINK("10.175.1.14\MWEB.12\BT\MetricGraphs.BT.10.175.1.14.MWEB.12.xlsx", "&lt;Metrics&gt;")</f>
      </c>
      <c r="Y108" s="1">
        <f>=HYPERLINK("10.175.1.14\MWEB.12\BT\FlameGraph.BT.10.175.1.14.MWEB.12.-newsplus-jr.271.svg", "&lt;FlGraph&gt;")</f>
      </c>
      <c r="Z108" s="1">
        <f>=HYPERLINK("10.175.1.14\MWEB.12\BT\FlameChart.BT.10.175.1.14.MWEB.12.-newsplus-jr.271.svg", "&lt;FlChart&gt;")</f>
      </c>
      <c r="AA108" s="0" t="s">
        <v>107</v>
      </c>
      <c r="AB108" s="0" t="s">
        <v>108</v>
      </c>
      <c r="AC108" s="0" t="s">
        <v>142</v>
      </c>
      <c r="AD108" s="0" t="s">
        <v>395</v>
      </c>
      <c r="AE108" s="0" t="s">
        <v>109</v>
      </c>
    </row>
    <row r="109">
      <c r="A109" s="0" t="s">
        <v>28</v>
      </c>
      <c r="B109" s="0" t="s">
        <v>30</v>
      </c>
      <c r="C109" s="0" t="s">
        <v>139</v>
      </c>
      <c r="D109" s="0" t="s">
        <v>396</v>
      </c>
      <c r="E109" s="0" t="s">
        <v>223</v>
      </c>
      <c r="F109" s="0">
        <v>0</v>
      </c>
      <c r="G109" s="0" t="s">
        <v>106</v>
      </c>
      <c r="H109" s="0">
        <v>0</v>
      </c>
      <c r="I109" s="0">
        <v>0</v>
      </c>
      <c r="J109" s="0">
        <v>0</v>
      </c>
      <c r="K109" s="0">
        <v>0</v>
      </c>
      <c r="L109" s="0">
        <v>0</v>
      </c>
      <c r="M109" s="0">
        <v>0</v>
      </c>
      <c r="N109" s="0" t="b">
        <v>0</v>
      </c>
      <c r="O109" s="2">
        <v>44613.583333333336</v>
      </c>
      <c r="P109" s="2">
        <v>44613.625</v>
      </c>
      <c r="Q109" s="2">
        <v>44613.208333333336</v>
      </c>
      <c r="R109" s="2">
        <v>44613.25</v>
      </c>
      <c r="S109" s="0">
        <v>60</v>
      </c>
      <c r="T109" s="0">
        <v>12</v>
      </c>
      <c r="U109" s="0">
        <v>35</v>
      </c>
      <c r="V109" s="0">
        <v>246</v>
      </c>
      <c r="W109" s="1">
        <f>=HYPERLINK("10.175.1.14\MWEB.12\BT\EntityDetails.10.175.1.14.MWEB.12.-newsplus-jr.246.xlsx", "&lt;Detail&gt;")</f>
      </c>
      <c r="X109" s="1">
        <f>=HYPERLINK("10.175.1.14\MWEB.12\BT\MetricGraphs.BT.10.175.1.14.MWEB.12.xlsx", "&lt;Metrics&gt;")</f>
      </c>
      <c r="Y109" s="1">
        <f>=HYPERLINK("10.175.1.14\MWEB.12\BT\FlameGraph.BT.10.175.1.14.MWEB.12.-newsplus-jr.246.svg", "&lt;FlGraph&gt;")</f>
      </c>
      <c r="Z109" s="1">
        <f>=HYPERLINK("10.175.1.14\MWEB.12\BT\FlameChart.BT.10.175.1.14.MWEB.12.-newsplus-jr.246.svg", "&lt;FlChart&gt;")</f>
      </c>
      <c r="AA109" s="0" t="s">
        <v>107</v>
      </c>
      <c r="AB109" s="0" t="s">
        <v>108</v>
      </c>
      <c r="AC109" s="0" t="s">
        <v>142</v>
      </c>
      <c r="AD109" s="0" t="s">
        <v>397</v>
      </c>
      <c r="AE109" s="0" t="s">
        <v>109</v>
      </c>
    </row>
    <row r="110">
      <c r="A110" s="0" t="s">
        <v>28</v>
      </c>
      <c r="B110" s="0" t="s">
        <v>30</v>
      </c>
      <c r="C110" s="0" t="s">
        <v>139</v>
      </c>
      <c r="D110" s="0" t="s">
        <v>398</v>
      </c>
      <c r="E110" s="0" t="s">
        <v>223</v>
      </c>
      <c r="F110" s="0">
        <v>0</v>
      </c>
      <c r="G110" s="0" t="s">
        <v>106</v>
      </c>
      <c r="H110" s="0">
        <v>0</v>
      </c>
      <c r="I110" s="0">
        <v>0</v>
      </c>
      <c r="J110" s="0">
        <v>0</v>
      </c>
      <c r="K110" s="0">
        <v>0</v>
      </c>
      <c r="L110" s="0">
        <v>0</v>
      </c>
      <c r="M110" s="0">
        <v>0</v>
      </c>
      <c r="N110" s="0" t="b">
        <v>0</v>
      </c>
      <c r="O110" s="2">
        <v>44613.583333333336</v>
      </c>
      <c r="P110" s="2">
        <v>44613.625</v>
      </c>
      <c r="Q110" s="2">
        <v>44613.208333333336</v>
      </c>
      <c r="R110" s="2">
        <v>44613.25</v>
      </c>
      <c r="S110" s="0">
        <v>60</v>
      </c>
      <c r="T110" s="0">
        <v>12</v>
      </c>
      <c r="U110" s="0">
        <v>35</v>
      </c>
      <c r="V110" s="0">
        <v>122</v>
      </c>
      <c r="W110" s="1">
        <f>=HYPERLINK("10.175.1.14\MWEB.12\BT\EntityDetails.10.175.1.14.MWEB.12.-newsplus-le.122.xlsx", "&lt;Detail&gt;")</f>
      </c>
      <c r="X110" s="1">
        <f>=HYPERLINK("10.175.1.14\MWEB.12\BT\MetricGraphs.BT.10.175.1.14.MWEB.12.xlsx", "&lt;Metrics&gt;")</f>
      </c>
      <c r="Y110" s="1">
        <f>=HYPERLINK("10.175.1.14\MWEB.12\BT\FlameGraph.BT.10.175.1.14.MWEB.12.-newsplus-le.122.svg", "&lt;FlGraph&gt;")</f>
      </c>
      <c r="Z110" s="1">
        <f>=HYPERLINK("10.175.1.14\MWEB.12\BT\FlameChart.BT.10.175.1.14.MWEB.12.-newsplus-le.122.svg", "&lt;FlChart&gt;")</f>
      </c>
      <c r="AA110" s="0" t="s">
        <v>107</v>
      </c>
      <c r="AB110" s="0" t="s">
        <v>108</v>
      </c>
      <c r="AC110" s="0" t="s">
        <v>142</v>
      </c>
      <c r="AD110" s="0" t="s">
        <v>399</v>
      </c>
      <c r="AE110" s="0" t="s">
        <v>109</v>
      </c>
    </row>
    <row r="111">
      <c r="A111" s="0" t="s">
        <v>28</v>
      </c>
      <c r="B111" s="0" t="s">
        <v>30</v>
      </c>
      <c r="C111" s="0" t="s">
        <v>161</v>
      </c>
      <c r="D111" s="0" t="s">
        <v>398</v>
      </c>
      <c r="E111" s="0" t="s">
        <v>223</v>
      </c>
      <c r="F111" s="0">
        <v>0</v>
      </c>
      <c r="G111" s="0" t="s">
        <v>106</v>
      </c>
      <c r="H111" s="0">
        <v>0</v>
      </c>
      <c r="I111" s="0">
        <v>0</v>
      </c>
      <c r="J111" s="0">
        <v>0</v>
      </c>
      <c r="K111" s="0">
        <v>0</v>
      </c>
      <c r="L111" s="0">
        <v>0</v>
      </c>
      <c r="M111" s="0">
        <v>0</v>
      </c>
      <c r="N111" s="0" t="b">
        <v>0</v>
      </c>
      <c r="O111" s="2">
        <v>44613.583333333336</v>
      </c>
      <c r="P111" s="2">
        <v>44613.625</v>
      </c>
      <c r="Q111" s="2">
        <v>44613.208333333336</v>
      </c>
      <c r="R111" s="2">
        <v>44613.25</v>
      </c>
      <c r="S111" s="0">
        <v>60</v>
      </c>
      <c r="T111" s="0">
        <v>12</v>
      </c>
      <c r="U111" s="0">
        <v>48</v>
      </c>
      <c r="V111" s="0">
        <v>903</v>
      </c>
      <c r="W111" s="1">
        <f>=HYPERLINK("10.175.1.14\MWEB.12\BT\EntityDetails.10.175.1.14.MWEB.12.-newsplus-le.903.xlsx", "&lt;Detail&gt;")</f>
      </c>
      <c r="X111" s="1">
        <f>=HYPERLINK("10.175.1.14\MWEB.12\BT\MetricGraphs.BT.10.175.1.14.MWEB.12.xlsx", "&lt;Metrics&gt;")</f>
      </c>
      <c r="Y111" s="1">
        <f>=HYPERLINK("10.175.1.14\MWEB.12\BT\FlameGraph.BT.10.175.1.14.MWEB.12.-newsplus-le.903.svg", "&lt;FlGraph&gt;")</f>
      </c>
      <c r="Z111" s="1">
        <f>=HYPERLINK("10.175.1.14\MWEB.12\BT\FlameChart.BT.10.175.1.14.MWEB.12.-newsplus-le.903.svg", "&lt;FlChart&gt;")</f>
      </c>
      <c r="AA111" s="0" t="s">
        <v>107</v>
      </c>
      <c r="AB111" s="0" t="s">
        <v>108</v>
      </c>
      <c r="AC111" s="0" t="s">
        <v>162</v>
      </c>
      <c r="AD111" s="0" t="s">
        <v>400</v>
      </c>
      <c r="AE111" s="0" t="s">
        <v>109</v>
      </c>
    </row>
    <row r="112">
      <c r="A112" s="0" t="s">
        <v>28</v>
      </c>
      <c r="B112" s="0" t="s">
        <v>30</v>
      </c>
      <c r="C112" s="0" t="s">
        <v>139</v>
      </c>
      <c r="D112" s="0" t="s">
        <v>401</v>
      </c>
      <c r="E112" s="0" t="s">
        <v>223</v>
      </c>
      <c r="F112" s="0">
        <v>0</v>
      </c>
      <c r="G112" s="0" t="s">
        <v>106</v>
      </c>
      <c r="H112" s="0">
        <v>0</v>
      </c>
      <c r="I112" s="0">
        <v>0</v>
      </c>
      <c r="J112" s="0">
        <v>0</v>
      </c>
      <c r="K112" s="0">
        <v>0</v>
      </c>
      <c r="L112" s="0">
        <v>0</v>
      </c>
      <c r="M112" s="0">
        <v>0</v>
      </c>
      <c r="N112" s="0" t="b">
        <v>0</v>
      </c>
      <c r="O112" s="2">
        <v>44613.583333333336</v>
      </c>
      <c r="P112" s="2">
        <v>44613.625</v>
      </c>
      <c r="Q112" s="2">
        <v>44613.208333333336</v>
      </c>
      <c r="R112" s="2">
        <v>44613.25</v>
      </c>
      <c r="S112" s="0">
        <v>60</v>
      </c>
      <c r="T112" s="0">
        <v>12</v>
      </c>
      <c r="U112" s="0">
        <v>35</v>
      </c>
      <c r="V112" s="0">
        <v>358</v>
      </c>
      <c r="W112" s="1">
        <f>=HYPERLINK("10.175.1.14\MWEB.12\BT\EntityDetails.10.175.1.14.MWEB.12.-newsplus-le.358.xlsx", "&lt;Detail&gt;")</f>
      </c>
      <c r="X112" s="1">
        <f>=HYPERLINK("10.175.1.14\MWEB.12\BT\MetricGraphs.BT.10.175.1.14.MWEB.12.xlsx", "&lt;Metrics&gt;")</f>
      </c>
      <c r="Y112" s="1">
        <f>=HYPERLINK("10.175.1.14\MWEB.12\BT\FlameGraph.BT.10.175.1.14.MWEB.12.-newsplus-le.358.svg", "&lt;FlGraph&gt;")</f>
      </c>
      <c r="Z112" s="1">
        <f>=HYPERLINK("10.175.1.14\MWEB.12\BT\FlameChart.BT.10.175.1.14.MWEB.12.-newsplus-le.358.svg", "&lt;FlChart&gt;")</f>
      </c>
      <c r="AA112" s="0" t="s">
        <v>107</v>
      </c>
      <c r="AB112" s="0" t="s">
        <v>108</v>
      </c>
      <c r="AC112" s="0" t="s">
        <v>142</v>
      </c>
      <c r="AD112" s="0" t="s">
        <v>402</v>
      </c>
      <c r="AE112" s="0" t="s">
        <v>109</v>
      </c>
    </row>
    <row r="113">
      <c r="A113" s="0" t="s">
        <v>28</v>
      </c>
      <c r="B113" s="0" t="s">
        <v>30</v>
      </c>
      <c r="C113" s="0" t="s">
        <v>161</v>
      </c>
      <c r="D113" s="0" t="s">
        <v>401</v>
      </c>
      <c r="E113" s="0" t="s">
        <v>223</v>
      </c>
      <c r="F113" s="0">
        <v>0</v>
      </c>
      <c r="G113" s="0" t="s">
        <v>106</v>
      </c>
      <c r="H113" s="0">
        <v>0</v>
      </c>
      <c r="I113" s="0">
        <v>0</v>
      </c>
      <c r="J113" s="0">
        <v>0</v>
      </c>
      <c r="K113" s="0">
        <v>0</v>
      </c>
      <c r="L113" s="0">
        <v>0</v>
      </c>
      <c r="M113" s="0">
        <v>0</v>
      </c>
      <c r="N113" s="0" t="b">
        <v>0</v>
      </c>
      <c r="O113" s="2">
        <v>44613.583333333336</v>
      </c>
      <c r="P113" s="2">
        <v>44613.625</v>
      </c>
      <c r="Q113" s="2">
        <v>44613.208333333336</v>
      </c>
      <c r="R113" s="2">
        <v>44613.25</v>
      </c>
      <c r="S113" s="0">
        <v>60</v>
      </c>
      <c r="T113" s="0">
        <v>12</v>
      </c>
      <c r="U113" s="0">
        <v>48</v>
      </c>
      <c r="V113" s="0">
        <v>894</v>
      </c>
      <c r="W113" s="1">
        <f>=HYPERLINK("10.175.1.14\MWEB.12\BT\EntityDetails.10.175.1.14.MWEB.12.-newsplus-le.894.xlsx", "&lt;Detail&gt;")</f>
      </c>
      <c r="X113" s="1">
        <f>=HYPERLINK("10.175.1.14\MWEB.12\BT\MetricGraphs.BT.10.175.1.14.MWEB.12.xlsx", "&lt;Metrics&gt;")</f>
      </c>
      <c r="Y113" s="1">
        <f>=HYPERLINK("10.175.1.14\MWEB.12\BT\FlameGraph.BT.10.175.1.14.MWEB.12.-newsplus-le.894.svg", "&lt;FlGraph&gt;")</f>
      </c>
      <c r="Z113" s="1">
        <f>=HYPERLINK("10.175.1.14\MWEB.12\BT\FlameChart.BT.10.175.1.14.MWEB.12.-newsplus-le.894.svg", "&lt;FlChart&gt;")</f>
      </c>
      <c r="AA113" s="0" t="s">
        <v>107</v>
      </c>
      <c r="AB113" s="0" t="s">
        <v>108</v>
      </c>
      <c r="AC113" s="0" t="s">
        <v>162</v>
      </c>
      <c r="AD113" s="0" t="s">
        <v>403</v>
      </c>
      <c r="AE113" s="0" t="s">
        <v>109</v>
      </c>
    </row>
    <row r="114">
      <c r="A114" s="0" t="s">
        <v>28</v>
      </c>
      <c r="B114" s="0" t="s">
        <v>30</v>
      </c>
      <c r="C114" s="0" t="s">
        <v>139</v>
      </c>
      <c r="D114" s="0" t="s">
        <v>404</v>
      </c>
      <c r="E114" s="0" t="s">
        <v>223</v>
      </c>
      <c r="F114" s="0">
        <v>0</v>
      </c>
      <c r="G114" s="0" t="s">
        <v>106</v>
      </c>
      <c r="H114" s="0">
        <v>0</v>
      </c>
      <c r="I114" s="0">
        <v>0</v>
      </c>
      <c r="J114" s="0">
        <v>0</v>
      </c>
      <c r="K114" s="0">
        <v>0</v>
      </c>
      <c r="L114" s="0">
        <v>0</v>
      </c>
      <c r="M114" s="0">
        <v>0</v>
      </c>
      <c r="N114" s="0" t="b">
        <v>0</v>
      </c>
      <c r="O114" s="2">
        <v>44613.583333333336</v>
      </c>
      <c r="P114" s="2">
        <v>44613.625</v>
      </c>
      <c r="Q114" s="2">
        <v>44613.208333333336</v>
      </c>
      <c r="R114" s="2">
        <v>44613.25</v>
      </c>
      <c r="S114" s="0">
        <v>60</v>
      </c>
      <c r="T114" s="0">
        <v>12</v>
      </c>
      <c r="U114" s="0">
        <v>35</v>
      </c>
      <c r="V114" s="0">
        <v>192</v>
      </c>
      <c r="W114" s="1">
        <f>=HYPERLINK("10.175.1.14\MWEB.12\BT\EntityDetails.10.175.1.14.MWEB.12.-newsplus-li.192.xlsx", "&lt;Detail&gt;")</f>
      </c>
      <c r="X114" s="1">
        <f>=HYPERLINK("10.175.1.14\MWEB.12\BT\MetricGraphs.BT.10.175.1.14.MWEB.12.xlsx", "&lt;Metrics&gt;")</f>
      </c>
      <c r="Y114" s="1">
        <f>=HYPERLINK("10.175.1.14\MWEB.12\BT\FlameGraph.BT.10.175.1.14.MWEB.12.-newsplus-li.192.svg", "&lt;FlGraph&gt;")</f>
      </c>
      <c r="Z114" s="1">
        <f>=HYPERLINK("10.175.1.14\MWEB.12\BT\FlameChart.BT.10.175.1.14.MWEB.12.-newsplus-li.192.svg", "&lt;FlChart&gt;")</f>
      </c>
      <c r="AA114" s="0" t="s">
        <v>107</v>
      </c>
      <c r="AB114" s="0" t="s">
        <v>108</v>
      </c>
      <c r="AC114" s="0" t="s">
        <v>142</v>
      </c>
      <c r="AD114" s="0" t="s">
        <v>405</v>
      </c>
      <c r="AE114" s="0" t="s">
        <v>109</v>
      </c>
    </row>
    <row r="115">
      <c r="A115" s="0" t="s">
        <v>28</v>
      </c>
      <c r="B115" s="0" t="s">
        <v>30</v>
      </c>
      <c r="C115" s="0" t="s">
        <v>161</v>
      </c>
      <c r="D115" s="0" t="s">
        <v>404</v>
      </c>
      <c r="E115" s="0" t="s">
        <v>223</v>
      </c>
      <c r="F115" s="0">
        <v>0</v>
      </c>
      <c r="G115" s="0" t="s">
        <v>106</v>
      </c>
      <c r="H115" s="0">
        <v>0</v>
      </c>
      <c r="I115" s="0">
        <v>0</v>
      </c>
      <c r="J115" s="0">
        <v>0</v>
      </c>
      <c r="K115" s="0">
        <v>0</v>
      </c>
      <c r="L115" s="0">
        <v>0</v>
      </c>
      <c r="M115" s="0">
        <v>0</v>
      </c>
      <c r="N115" s="0" t="b">
        <v>0</v>
      </c>
      <c r="O115" s="2">
        <v>44613.583333333336</v>
      </c>
      <c r="P115" s="2">
        <v>44613.625</v>
      </c>
      <c r="Q115" s="2">
        <v>44613.208333333336</v>
      </c>
      <c r="R115" s="2">
        <v>44613.25</v>
      </c>
      <c r="S115" s="0">
        <v>60</v>
      </c>
      <c r="T115" s="0">
        <v>12</v>
      </c>
      <c r="U115" s="0">
        <v>48</v>
      </c>
      <c r="V115" s="0">
        <v>689</v>
      </c>
      <c r="W115" s="1">
        <f>=HYPERLINK("10.175.1.14\MWEB.12\BT\EntityDetails.10.175.1.14.MWEB.12.-newsplus-li.689.xlsx", "&lt;Detail&gt;")</f>
      </c>
      <c r="X115" s="1">
        <f>=HYPERLINK("10.175.1.14\MWEB.12\BT\MetricGraphs.BT.10.175.1.14.MWEB.12.xlsx", "&lt;Metrics&gt;")</f>
      </c>
      <c r="Y115" s="1">
        <f>=HYPERLINK("10.175.1.14\MWEB.12\BT\FlameGraph.BT.10.175.1.14.MWEB.12.-newsplus-li.689.svg", "&lt;FlGraph&gt;")</f>
      </c>
      <c r="Z115" s="1">
        <f>=HYPERLINK("10.175.1.14\MWEB.12\BT\FlameChart.BT.10.175.1.14.MWEB.12.-newsplus-li.689.svg", "&lt;FlChart&gt;")</f>
      </c>
      <c r="AA115" s="0" t="s">
        <v>107</v>
      </c>
      <c r="AB115" s="0" t="s">
        <v>108</v>
      </c>
      <c r="AC115" s="0" t="s">
        <v>162</v>
      </c>
      <c r="AD115" s="0" t="s">
        <v>406</v>
      </c>
      <c r="AE115" s="0" t="s">
        <v>109</v>
      </c>
    </row>
    <row r="116">
      <c r="A116" s="0" t="s">
        <v>28</v>
      </c>
      <c r="B116" s="0" t="s">
        <v>30</v>
      </c>
      <c r="C116" s="0" t="s">
        <v>139</v>
      </c>
      <c r="D116" s="0" t="s">
        <v>407</v>
      </c>
      <c r="E116" s="0" t="s">
        <v>223</v>
      </c>
      <c r="F116" s="0">
        <v>0</v>
      </c>
      <c r="G116" s="0" t="s">
        <v>106</v>
      </c>
      <c r="H116" s="0">
        <v>0</v>
      </c>
      <c r="I116" s="0">
        <v>0</v>
      </c>
      <c r="J116" s="0">
        <v>0</v>
      </c>
      <c r="K116" s="0">
        <v>0</v>
      </c>
      <c r="L116" s="0">
        <v>0</v>
      </c>
      <c r="M116" s="0">
        <v>0</v>
      </c>
      <c r="N116" s="0" t="b">
        <v>0</v>
      </c>
      <c r="O116" s="2">
        <v>44613.583333333336</v>
      </c>
      <c r="P116" s="2">
        <v>44613.625</v>
      </c>
      <c r="Q116" s="2">
        <v>44613.208333333336</v>
      </c>
      <c r="R116" s="2">
        <v>44613.25</v>
      </c>
      <c r="S116" s="0">
        <v>60</v>
      </c>
      <c r="T116" s="0">
        <v>12</v>
      </c>
      <c r="U116" s="0">
        <v>35</v>
      </c>
      <c r="V116" s="0">
        <v>301</v>
      </c>
      <c r="W116" s="1">
        <f>=HYPERLINK("10.175.1.14\MWEB.12\BT\EntityDetails.10.175.1.14.MWEB.12.-newsplus-lo.301.xlsx", "&lt;Detail&gt;")</f>
      </c>
      <c r="X116" s="1">
        <f>=HYPERLINK("10.175.1.14\MWEB.12\BT\MetricGraphs.BT.10.175.1.14.MWEB.12.xlsx", "&lt;Metrics&gt;")</f>
      </c>
      <c r="Y116" s="1">
        <f>=HYPERLINK("10.175.1.14\MWEB.12\BT\FlameGraph.BT.10.175.1.14.MWEB.12.-newsplus-lo.301.svg", "&lt;FlGraph&gt;")</f>
      </c>
      <c r="Z116" s="1">
        <f>=HYPERLINK("10.175.1.14\MWEB.12\BT\FlameChart.BT.10.175.1.14.MWEB.12.-newsplus-lo.301.svg", "&lt;FlChart&gt;")</f>
      </c>
      <c r="AA116" s="0" t="s">
        <v>107</v>
      </c>
      <c r="AB116" s="0" t="s">
        <v>108</v>
      </c>
      <c r="AC116" s="0" t="s">
        <v>142</v>
      </c>
      <c r="AD116" s="0" t="s">
        <v>408</v>
      </c>
      <c r="AE116" s="0" t="s">
        <v>109</v>
      </c>
    </row>
    <row r="117">
      <c r="A117" s="0" t="s">
        <v>28</v>
      </c>
      <c r="B117" s="0" t="s">
        <v>30</v>
      </c>
      <c r="C117" s="0" t="s">
        <v>161</v>
      </c>
      <c r="D117" s="0" t="s">
        <v>407</v>
      </c>
      <c r="E117" s="0" t="s">
        <v>223</v>
      </c>
      <c r="F117" s="0">
        <v>0</v>
      </c>
      <c r="G117" s="0" t="s">
        <v>106</v>
      </c>
      <c r="H117" s="0">
        <v>0</v>
      </c>
      <c r="I117" s="0">
        <v>0</v>
      </c>
      <c r="J117" s="0">
        <v>0</v>
      </c>
      <c r="K117" s="0">
        <v>0</v>
      </c>
      <c r="L117" s="0">
        <v>0</v>
      </c>
      <c r="M117" s="0">
        <v>0</v>
      </c>
      <c r="N117" s="0" t="b">
        <v>0</v>
      </c>
      <c r="O117" s="2">
        <v>44613.583333333336</v>
      </c>
      <c r="P117" s="2">
        <v>44613.625</v>
      </c>
      <c r="Q117" s="2">
        <v>44613.208333333336</v>
      </c>
      <c r="R117" s="2">
        <v>44613.25</v>
      </c>
      <c r="S117" s="0">
        <v>60</v>
      </c>
      <c r="T117" s="0">
        <v>12</v>
      </c>
      <c r="U117" s="0">
        <v>48</v>
      </c>
      <c r="V117" s="0">
        <v>896</v>
      </c>
      <c r="W117" s="1">
        <f>=HYPERLINK("10.175.1.14\MWEB.12\BT\EntityDetails.10.175.1.14.MWEB.12.-newsplus-lo.896.xlsx", "&lt;Detail&gt;")</f>
      </c>
      <c r="X117" s="1">
        <f>=HYPERLINK("10.175.1.14\MWEB.12\BT\MetricGraphs.BT.10.175.1.14.MWEB.12.xlsx", "&lt;Metrics&gt;")</f>
      </c>
      <c r="Y117" s="1">
        <f>=HYPERLINK("10.175.1.14\MWEB.12\BT\FlameGraph.BT.10.175.1.14.MWEB.12.-newsplus-lo.896.svg", "&lt;FlGraph&gt;")</f>
      </c>
      <c r="Z117" s="1">
        <f>=HYPERLINK("10.175.1.14\MWEB.12\BT\FlameChart.BT.10.175.1.14.MWEB.12.-newsplus-lo.896.svg", "&lt;FlChart&gt;")</f>
      </c>
      <c r="AA117" s="0" t="s">
        <v>107</v>
      </c>
      <c r="AB117" s="0" t="s">
        <v>108</v>
      </c>
      <c r="AC117" s="0" t="s">
        <v>162</v>
      </c>
      <c r="AD117" s="0" t="s">
        <v>409</v>
      </c>
      <c r="AE117" s="0" t="s">
        <v>109</v>
      </c>
    </row>
    <row r="118">
      <c r="A118" s="0" t="s">
        <v>28</v>
      </c>
      <c r="B118" s="0" t="s">
        <v>30</v>
      </c>
      <c r="C118" s="0" t="s">
        <v>139</v>
      </c>
      <c r="D118" s="0" t="s">
        <v>410</v>
      </c>
      <c r="E118" s="0" t="s">
        <v>223</v>
      </c>
      <c r="F118" s="0">
        <v>0</v>
      </c>
      <c r="G118" s="0" t="s">
        <v>106</v>
      </c>
      <c r="H118" s="0">
        <v>0</v>
      </c>
      <c r="I118" s="0">
        <v>0</v>
      </c>
      <c r="J118" s="0">
        <v>0</v>
      </c>
      <c r="K118" s="0">
        <v>0</v>
      </c>
      <c r="L118" s="0">
        <v>0</v>
      </c>
      <c r="M118" s="0">
        <v>0</v>
      </c>
      <c r="N118" s="0" t="b">
        <v>0</v>
      </c>
      <c r="O118" s="2">
        <v>44613.583333333336</v>
      </c>
      <c r="P118" s="2">
        <v>44613.625</v>
      </c>
      <c r="Q118" s="2">
        <v>44613.208333333336</v>
      </c>
      <c r="R118" s="2">
        <v>44613.25</v>
      </c>
      <c r="S118" s="0">
        <v>60</v>
      </c>
      <c r="T118" s="0">
        <v>12</v>
      </c>
      <c r="U118" s="0">
        <v>35</v>
      </c>
      <c r="V118" s="0">
        <v>179</v>
      </c>
      <c r="W118" s="1">
        <f>=HYPERLINK("10.175.1.14\MWEB.12\BT\EntityDetails.10.175.1.14.MWEB.12.-newsplus-lo.179.xlsx", "&lt;Detail&gt;")</f>
      </c>
      <c r="X118" s="1">
        <f>=HYPERLINK("10.175.1.14\MWEB.12\BT\MetricGraphs.BT.10.175.1.14.MWEB.12.xlsx", "&lt;Metrics&gt;")</f>
      </c>
      <c r="Y118" s="1">
        <f>=HYPERLINK("10.175.1.14\MWEB.12\BT\FlameGraph.BT.10.175.1.14.MWEB.12.-newsplus-lo.179.svg", "&lt;FlGraph&gt;")</f>
      </c>
      <c r="Z118" s="1">
        <f>=HYPERLINK("10.175.1.14\MWEB.12\BT\FlameChart.BT.10.175.1.14.MWEB.12.-newsplus-lo.179.svg", "&lt;FlChart&gt;")</f>
      </c>
      <c r="AA118" s="0" t="s">
        <v>107</v>
      </c>
      <c r="AB118" s="0" t="s">
        <v>108</v>
      </c>
      <c r="AC118" s="0" t="s">
        <v>142</v>
      </c>
      <c r="AD118" s="0" t="s">
        <v>411</v>
      </c>
      <c r="AE118" s="0" t="s">
        <v>109</v>
      </c>
    </row>
    <row r="119">
      <c r="A119" s="0" t="s">
        <v>28</v>
      </c>
      <c r="B119" s="0" t="s">
        <v>30</v>
      </c>
      <c r="C119" s="0" t="s">
        <v>161</v>
      </c>
      <c r="D119" s="0" t="s">
        <v>410</v>
      </c>
      <c r="E119" s="0" t="s">
        <v>223</v>
      </c>
      <c r="F119" s="0">
        <v>0</v>
      </c>
      <c r="G119" s="0" t="s">
        <v>106</v>
      </c>
      <c r="H119" s="0">
        <v>0</v>
      </c>
      <c r="I119" s="0">
        <v>0</v>
      </c>
      <c r="J119" s="0">
        <v>0</v>
      </c>
      <c r="K119" s="0">
        <v>0</v>
      </c>
      <c r="L119" s="0">
        <v>0</v>
      </c>
      <c r="M119" s="0">
        <v>0</v>
      </c>
      <c r="N119" s="0" t="b">
        <v>0</v>
      </c>
      <c r="O119" s="2">
        <v>44613.583333333336</v>
      </c>
      <c r="P119" s="2">
        <v>44613.625</v>
      </c>
      <c r="Q119" s="2">
        <v>44613.208333333336</v>
      </c>
      <c r="R119" s="2">
        <v>44613.25</v>
      </c>
      <c r="S119" s="0">
        <v>60</v>
      </c>
      <c r="T119" s="0">
        <v>12</v>
      </c>
      <c r="U119" s="0">
        <v>48</v>
      </c>
      <c r="V119" s="0">
        <v>691</v>
      </c>
      <c r="W119" s="1">
        <f>=HYPERLINK("10.175.1.14\MWEB.12\BT\EntityDetails.10.175.1.14.MWEB.12.-newsplus-lo.691.xlsx", "&lt;Detail&gt;")</f>
      </c>
      <c r="X119" s="1">
        <f>=HYPERLINK("10.175.1.14\MWEB.12\BT\MetricGraphs.BT.10.175.1.14.MWEB.12.xlsx", "&lt;Metrics&gt;")</f>
      </c>
      <c r="Y119" s="1">
        <f>=HYPERLINK("10.175.1.14\MWEB.12\BT\FlameGraph.BT.10.175.1.14.MWEB.12.-newsplus-lo.691.svg", "&lt;FlGraph&gt;")</f>
      </c>
      <c r="Z119" s="1">
        <f>=HYPERLINK("10.175.1.14\MWEB.12\BT\FlameChart.BT.10.175.1.14.MWEB.12.-newsplus-lo.691.svg", "&lt;FlChart&gt;")</f>
      </c>
      <c r="AA119" s="0" t="s">
        <v>107</v>
      </c>
      <c r="AB119" s="0" t="s">
        <v>108</v>
      </c>
      <c r="AC119" s="0" t="s">
        <v>162</v>
      </c>
      <c r="AD119" s="0" t="s">
        <v>412</v>
      </c>
      <c r="AE119" s="0" t="s">
        <v>109</v>
      </c>
    </row>
    <row r="120">
      <c r="A120" s="0" t="s">
        <v>28</v>
      </c>
      <c r="B120" s="0" t="s">
        <v>30</v>
      </c>
      <c r="C120" s="0" t="s">
        <v>139</v>
      </c>
      <c r="D120" s="0" t="s">
        <v>413</v>
      </c>
      <c r="E120" s="0" t="s">
        <v>223</v>
      </c>
      <c r="F120" s="0">
        <v>0</v>
      </c>
      <c r="G120" s="0" t="s">
        <v>106</v>
      </c>
      <c r="H120" s="0">
        <v>0</v>
      </c>
      <c r="I120" s="0">
        <v>0</v>
      </c>
      <c r="J120" s="0">
        <v>0</v>
      </c>
      <c r="K120" s="0">
        <v>0</v>
      </c>
      <c r="L120" s="0">
        <v>0</v>
      </c>
      <c r="M120" s="0">
        <v>0</v>
      </c>
      <c r="N120" s="0" t="b">
        <v>0</v>
      </c>
      <c r="O120" s="2">
        <v>44613.583333333336</v>
      </c>
      <c r="P120" s="2">
        <v>44613.625</v>
      </c>
      <c r="Q120" s="2">
        <v>44613.208333333336</v>
      </c>
      <c r="R120" s="2">
        <v>44613.25</v>
      </c>
      <c r="S120" s="0">
        <v>60</v>
      </c>
      <c r="T120" s="0">
        <v>12</v>
      </c>
      <c r="U120" s="0">
        <v>35</v>
      </c>
      <c r="V120" s="0">
        <v>258</v>
      </c>
      <c r="W120" s="1">
        <f>=HYPERLINK("10.175.1.14\MWEB.12\BT\EntityDetails.10.175.1.14.MWEB.12.-newsplus-lo.258.xlsx", "&lt;Detail&gt;")</f>
      </c>
      <c r="X120" s="1">
        <f>=HYPERLINK("10.175.1.14\MWEB.12\BT\MetricGraphs.BT.10.175.1.14.MWEB.12.xlsx", "&lt;Metrics&gt;")</f>
      </c>
      <c r="Y120" s="1">
        <f>=HYPERLINK("10.175.1.14\MWEB.12\BT\FlameGraph.BT.10.175.1.14.MWEB.12.-newsplus-lo.258.svg", "&lt;FlGraph&gt;")</f>
      </c>
      <c r="Z120" s="1">
        <f>=HYPERLINK("10.175.1.14\MWEB.12\BT\FlameChart.BT.10.175.1.14.MWEB.12.-newsplus-lo.258.svg", "&lt;FlChart&gt;")</f>
      </c>
      <c r="AA120" s="0" t="s">
        <v>107</v>
      </c>
      <c r="AB120" s="0" t="s">
        <v>108</v>
      </c>
      <c r="AC120" s="0" t="s">
        <v>142</v>
      </c>
      <c r="AD120" s="0" t="s">
        <v>414</v>
      </c>
      <c r="AE120" s="0" t="s">
        <v>109</v>
      </c>
    </row>
    <row r="121">
      <c r="A121" s="0" t="s">
        <v>28</v>
      </c>
      <c r="B121" s="0" t="s">
        <v>30</v>
      </c>
      <c r="C121" s="0" t="s">
        <v>161</v>
      </c>
      <c r="D121" s="0" t="s">
        <v>413</v>
      </c>
      <c r="E121" s="0" t="s">
        <v>223</v>
      </c>
      <c r="F121" s="0">
        <v>0</v>
      </c>
      <c r="G121" s="0" t="s">
        <v>106</v>
      </c>
      <c r="H121" s="0">
        <v>0</v>
      </c>
      <c r="I121" s="0">
        <v>0</v>
      </c>
      <c r="J121" s="0">
        <v>0</v>
      </c>
      <c r="K121" s="0">
        <v>0</v>
      </c>
      <c r="L121" s="0">
        <v>0</v>
      </c>
      <c r="M121" s="0">
        <v>0</v>
      </c>
      <c r="N121" s="0" t="b">
        <v>0</v>
      </c>
      <c r="O121" s="2">
        <v>44613.583333333336</v>
      </c>
      <c r="P121" s="2">
        <v>44613.625</v>
      </c>
      <c r="Q121" s="2">
        <v>44613.208333333336</v>
      </c>
      <c r="R121" s="2">
        <v>44613.25</v>
      </c>
      <c r="S121" s="0">
        <v>60</v>
      </c>
      <c r="T121" s="0">
        <v>12</v>
      </c>
      <c r="U121" s="0">
        <v>48</v>
      </c>
      <c r="V121" s="0">
        <v>719</v>
      </c>
      <c r="W121" s="1">
        <f>=HYPERLINK("10.175.1.14\MWEB.12\BT\EntityDetails.10.175.1.14.MWEB.12.-newsplus-lo.719.xlsx", "&lt;Detail&gt;")</f>
      </c>
      <c r="X121" s="1">
        <f>=HYPERLINK("10.175.1.14\MWEB.12\BT\MetricGraphs.BT.10.175.1.14.MWEB.12.xlsx", "&lt;Metrics&gt;")</f>
      </c>
      <c r="Y121" s="1">
        <f>=HYPERLINK("10.175.1.14\MWEB.12\BT\FlameGraph.BT.10.175.1.14.MWEB.12.-newsplus-lo.719.svg", "&lt;FlGraph&gt;")</f>
      </c>
      <c r="Z121" s="1">
        <f>=HYPERLINK("10.175.1.14\MWEB.12\BT\FlameChart.BT.10.175.1.14.MWEB.12.-newsplus-lo.719.svg", "&lt;FlChart&gt;")</f>
      </c>
      <c r="AA121" s="0" t="s">
        <v>107</v>
      </c>
      <c r="AB121" s="0" t="s">
        <v>108</v>
      </c>
      <c r="AC121" s="0" t="s">
        <v>162</v>
      </c>
      <c r="AD121" s="0" t="s">
        <v>415</v>
      </c>
      <c r="AE121" s="0" t="s">
        <v>109</v>
      </c>
    </row>
    <row r="122">
      <c r="A122" s="0" t="s">
        <v>28</v>
      </c>
      <c r="B122" s="0" t="s">
        <v>30</v>
      </c>
      <c r="C122" s="0" t="s">
        <v>139</v>
      </c>
      <c r="D122" s="0" t="s">
        <v>416</v>
      </c>
      <c r="E122" s="0" t="s">
        <v>223</v>
      </c>
      <c r="F122" s="0">
        <v>0</v>
      </c>
      <c r="G122" s="0" t="s">
        <v>106</v>
      </c>
      <c r="H122" s="0">
        <v>0</v>
      </c>
      <c r="I122" s="0">
        <v>0</v>
      </c>
      <c r="J122" s="0">
        <v>0</v>
      </c>
      <c r="K122" s="0">
        <v>0</v>
      </c>
      <c r="L122" s="0">
        <v>0</v>
      </c>
      <c r="M122" s="0">
        <v>0</v>
      </c>
      <c r="N122" s="0" t="b">
        <v>0</v>
      </c>
      <c r="O122" s="2">
        <v>44613.583333333336</v>
      </c>
      <c r="P122" s="2">
        <v>44613.625</v>
      </c>
      <c r="Q122" s="2">
        <v>44613.208333333336</v>
      </c>
      <c r="R122" s="2">
        <v>44613.25</v>
      </c>
      <c r="S122" s="0">
        <v>60</v>
      </c>
      <c r="T122" s="0">
        <v>12</v>
      </c>
      <c r="U122" s="0">
        <v>35</v>
      </c>
      <c r="V122" s="0">
        <v>397</v>
      </c>
      <c r="W122" s="1">
        <f>=HYPERLINK("10.175.1.14\MWEB.12\BT\EntityDetails.10.175.1.14.MWEB.12.-newsplus-my.397.xlsx", "&lt;Detail&gt;")</f>
      </c>
      <c r="X122" s="1">
        <f>=HYPERLINK("10.175.1.14\MWEB.12\BT\MetricGraphs.BT.10.175.1.14.MWEB.12.xlsx", "&lt;Metrics&gt;")</f>
      </c>
      <c r="Y122" s="1">
        <f>=HYPERLINK("10.175.1.14\MWEB.12\BT\FlameGraph.BT.10.175.1.14.MWEB.12.-newsplus-my.397.svg", "&lt;FlGraph&gt;")</f>
      </c>
      <c r="Z122" s="1">
        <f>=HYPERLINK("10.175.1.14\MWEB.12\BT\FlameChart.BT.10.175.1.14.MWEB.12.-newsplus-my.397.svg", "&lt;FlChart&gt;")</f>
      </c>
      <c r="AA122" s="0" t="s">
        <v>107</v>
      </c>
      <c r="AB122" s="0" t="s">
        <v>108</v>
      </c>
      <c r="AC122" s="0" t="s">
        <v>142</v>
      </c>
      <c r="AD122" s="0" t="s">
        <v>417</v>
      </c>
      <c r="AE122" s="0" t="s">
        <v>109</v>
      </c>
    </row>
    <row r="123">
      <c r="A123" s="0" t="s">
        <v>28</v>
      </c>
      <c r="B123" s="0" t="s">
        <v>30</v>
      </c>
      <c r="C123" s="0" t="s">
        <v>139</v>
      </c>
      <c r="D123" s="0" t="s">
        <v>418</v>
      </c>
      <c r="E123" s="0" t="s">
        <v>223</v>
      </c>
      <c r="F123" s="0">
        <v>0</v>
      </c>
      <c r="G123" s="0" t="s">
        <v>106</v>
      </c>
      <c r="H123" s="0">
        <v>0</v>
      </c>
      <c r="I123" s="0">
        <v>0</v>
      </c>
      <c r="J123" s="0">
        <v>0</v>
      </c>
      <c r="K123" s="0">
        <v>0</v>
      </c>
      <c r="L123" s="0">
        <v>0</v>
      </c>
      <c r="M123" s="0">
        <v>0</v>
      </c>
      <c r="N123" s="0" t="b">
        <v>0</v>
      </c>
      <c r="O123" s="2">
        <v>44613.583333333336</v>
      </c>
      <c r="P123" s="2">
        <v>44613.625</v>
      </c>
      <c r="Q123" s="2">
        <v>44613.208333333336</v>
      </c>
      <c r="R123" s="2">
        <v>44613.25</v>
      </c>
      <c r="S123" s="0">
        <v>60</v>
      </c>
      <c r="T123" s="0">
        <v>12</v>
      </c>
      <c r="U123" s="0">
        <v>35</v>
      </c>
      <c r="V123" s="0">
        <v>325</v>
      </c>
      <c r="W123" s="1">
        <f>=HYPERLINK("10.175.1.14\MWEB.12\BT\EntityDetails.10.175.1.14.MWEB.12.-newsplus-pa.325.xlsx", "&lt;Detail&gt;")</f>
      </c>
      <c r="X123" s="1">
        <f>=HYPERLINK("10.175.1.14\MWEB.12\BT\MetricGraphs.BT.10.175.1.14.MWEB.12.xlsx", "&lt;Metrics&gt;")</f>
      </c>
      <c r="Y123" s="1">
        <f>=HYPERLINK("10.175.1.14\MWEB.12\BT\FlameGraph.BT.10.175.1.14.MWEB.12.-newsplus-pa.325.svg", "&lt;FlGraph&gt;")</f>
      </c>
      <c r="Z123" s="1">
        <f>=HYPERLINK("10.175.1.14\MWEB.12\BT\FlameChart.BT.10.175.1.14.MWEB.12.-newsplus-pa.325.svg", "&lt;FlChart&gt;")</f>
      </c>
      <c r="AA123" s="0" t="s">
        <v>107</v>
      </c>
      <c r="AB123" s="0" t="s">
        <v>108</v>
      </c>
      <c r="AC123" s="0" t="s">
        <v>142</v>
      </c>
      <c r="AD123" s="0" t="s">
        <v>419</v>
      </c>
      <c r="AE123" s="0" t="s">
        <v>109</v>
      </c>
    </row>
    <row r="124">
      <c r="A124" s="0" t="s">
        <v>28</v>
      </c>
      <c r="B124" s="0" t="s">
        <v>30</v>
      </c>
      <c r="C124" s="0" t="s">
        <v>139</v>
      </c>
      <c r="D124" s="0" t="s">
        <v>420</v>
      </c>
      <c r="E124" s="0" t="s">
        <v>223</v>
      </c>
      <c r="F124" s="0">
        <v>0</v>
      </c>
      <c r="G124" s="0" t="s">
        <v>106</v>
      </c>
      <c r="H124" s="0">
        <v>0</v>
      </c>
      <c r="I124" s="0">
        <v>0</v>
      </c>
      <c r="J124" s="0">
        <v>0</v>
      </c>
      <c r="K124" s="0">
        <v>0</v>
      </c>
      <c r="L124" s="0">
        <v>0</v>
      </c>
      <c r="M124" s="0">
        <v>0</v>
      </c>
      <c r="N124" s="0" t="b">
        <v>0</v>
      </c>
      <c r="O124" s="2">
        <v>44613.583333333336</v>
      </c>
      <c r="P124" s="2">
        <v>44613.625</v>
      </c>
      <c r="Q124" s="2">
        <v>44613.208333333336</v>
      </c>
      <c r="R124" s="2">
        <v>44613.25</v>
      </c>
      <c r="S124" s="0">
        <v>60</v>
      </c>
      <c r="T124" s="0">
        <v>12</v>
      </c>
      <c r="U124" s="0">
        <v>35</v>
      </c>
      <c r="V124" s="0">
        <v>380</v>
      </c>
      <c r="W124" s="1">
        <f>=HYPERLINK("10.175.1.14\MWEB.12\BT\EntityDetails.10.175.1.14.MWEB.12.-newsplus-po.380.xlsx", "&lt;Detail&gt;")</f>
      </c>
      <c r="X124" s="1">
        <f>=HYPERLINK("10.175.1.14\MWEB.12\BT\MetricGraphs.BT.10.175.1.14.MWEB.12.xlsx", "&lt;Metrics&gt;")</f>
      </c>
      <c r="Y124" s="1">
        <f>=HYPERLINK("10.175.1.14\MWEB.12\BT\FlameGraph.BT.10.175.1.14.MWEB.12.-newsplus-po.380.svg", "&lt;FlGraph&gt;")</f>
      </c>
      <c r="Z124" s="1">
        <f>=HYPERLINK("10.175.1.14\MWEB.12\BT\FlameChart.BT.10.175.1.14.MWEB.12.-newsplus-po.380.svg", "&lt;FlChart&gt;")</f>
      </c>
      <c r="AA124" s="0" t="s">
        <v>107</v>
      </c>
      <c r="AB124" s="0" t="s">
        <v>108</v>
      </c>
      <c r="AC124" s="0" t="s">
        <v>142</v>
      </c>
      <c r="AD124" s="0" t="s">
        <v>421</v>
      </c>
      <c r="AE124" s="0" t="s">
        <v>109</v>
      </c>
    </row>
    <row r="125">
      <c r="A125" s="0" t="s">
        <v>28</v>
      </c>
      <c r="B125" s="0" t="s">
        <v>30</v>
      </c>
      <c r="C125" s="0" t="s">
        <v>139</v>
      </c>
      <c r="D125" s="0" t="s">
        <v>422</v>
      </c>
      <c r="E125" s="0" t="s">
        <v>223</v>
      </c>
      <c r="F125" s="0">
        <v>0</v>
      </c>
      <c r="G125" s="0" t="s">
        <v>106</v>
      </c>
      <c r="H125" s="0">
        <v>0</v>
      </c>
      <c r="I125" s="0">
        <v>0</v>
      </c>
      <c r="J125" s="0">
        <v>0</v>
      </c>
      <c r="K125" s="0">
        <v>0</v>
      </c>
      <c r="L125" s="0">
        <v>0</v>
      </c>
      <c r="M125" s="0">
        <v>0</v>
      </c>
      <c r="N125" s="0" t="b">
        <v>0</v>
      </c>
      <c r="O125" s="2">
        <v>44613.583333333336</v>
      </c>
      <c r="P125" s="2">
        <v>44613.625</v>
      </c>
      <c r="Q125" s="2">
        <v>44613.208333333336</v>
      </c>
      <c r="R125" s="2">
        <v>44613.25</v>
      </c>
      <c r="S125" s="0">
        <v>60</v>
      </c>
      <c r="T125" s="0">
        <v>12</v>
      </c>
      <c r="U125" s="0">
        <v>35</v>
      </c>
      <c r="V125" s="0">
        <v>289</v>
      </c>
      <c r="W125" s="1">
        <f>=HYPERLINK("10.175.1.14\MWEB.12\BT\EntityDetails.10.175.1.14.MWEB.12.-newsplus-re.289.xlsx", "&lt;Detail&gt;")</f>
      </c>
      <c r="X125" s="1">
        <f>=HYPERLINK("10.175.1.14\MWEB.12\BT\MetricGraphs.BT.10.175.1.14.MWEB.12.xlsx", "&lt;Metrics&gt;")</f>
      </c>
      <c r="Y125" s="1">
        <f>=HYPERLINK("10.175.1.14\MWEB.12\BT\FlameGraph.BT.10.175.1.14.MWEB.12.-newsplus-re.289.svg", "&lt;FlGraph&gt;")</f>
      </c>
      <c r="Z125" s="1">
        <f>=HYPERLINK("10.175.1.14\MWEB.12\BT\FlameChart.BT.10.175.1.14.MWEB.12.-newsplus-re.289.svg", "&lt;FlChart&gt;")</f>
      </c>
      <c r="AA125" s="0" t="s">
        <v>107</v>
      </c>
      <c r="AB125" s="0" t="s">
        <v>108</v>
      </c>
      <c r="AC125" s="0" t="s">
        <v>142</v>
      </c>
      <c r="AD125" s="0" t="s">
        <v>423</v>
      </c>
      <c r="AE125" s="0" t="s">
        <v>109</v>
      </c>
    </row>
    <row r="126">
      <c r="A126" s="0" t="s">
        <v>28</v>
      </c>
      <c r="B126" s="0" t="s">
        <v>30</v>
      </c>
      <c r="C126" s="0" t="s">
        <v>139</v>
      </c>
      <c r="D126" s="0" t="s">
        <v>424</v>
      </c>
      <c r="E126" s="0" t="s">
        <v>223</v>
      </c>
      <c r="F126" s="0">
        <v>0</v>
      </c>
      <c r="G126" s="0" t="s">
        <v>106</v>
      </c>
      <c r="H126" s="0">
        <v>0</v>
      </c>
      <c r="I126" s="0">
        <v>0</v>
      </c>
      <c r="J126" s="0">
        <v>0</v>
      </c>
      <c r="K126" s="0">
        <v>0</v>
      </c>
      <c r="L126" s="0">
        <v>0</v>
      </c>
      <c r="M126" s="0">
        <v>0</v>
      </c>
      <c r="N126" s="0" t="b">
        <v>0</v>
      </c>
      <c r="O126" s="2">
        <v>44613.583333333336</v>
      </c>
      <c r="P126" s="2">
        <v>44613.625</v>
      </c>
      <c r="Q126" s="2">
        <v>44613.208333333336</v>
      </c>
      <c r="R126" s="2">
        <v>44613.25</v>
      </c>
      <c r="S126" s="0">
        <v>60</v>
      </c>
      <c r="T126" s="0">
        <v>12</v>
      </c>
      <c r="U126" s="0">
        <v>35</v>
      </c>
      <c r="V126" s="0">
        <v>181</v>
      </c>
      <c r="W126" s="1">
        <f>=HYPERLINK("10.175.1.14\MWEB.12\BT\EntityDetails.10.175.1.14.MWEB.12.-newsplus-re.181.xlsx", "&lt;Detail&gt;")</f>
      </c>
      <c r="X126" s="1">
        <f>=HYPERLINK("10.175.1.14\MWEB.12\BT\MetricGraphs.BT.10.175.1.14.MWEB.12.xlsx", "&lt;Metrics&gt;")</f>
      </c>
      <c r="Y126" s="1">
        <f>=HYPERLINK("10.175.1.14\MWEB.12\BT\FlameGraph.BT.10.175.1.14.MWEB.12.-newsplus-re.181.svg", "&lt;FlGraph&gt;")</f>
      </c>
      <c r="Z126" s="1">
        <f>=HYPERLINK("10.175.1.14\MWEB.12\BT\FlameChart.BT.10.175.1.14.MWEB.12.-newsplus-re.181.svg", "&lt;FlChart&gt;")</f>
      </c>
      <c r="AA126" s="0" t="s">
        <v>107</v>
      </c>
      <c r="AB126" s="0" t="s">
        <v>108</v>
      </c>
      <c r="AC126" s="0" t="s">
        <v>142</v>
      </c>
      <c r="AD126" s="0" t="s">
        <v>425</v>
      </c>
      <c r="AE126" s="0" t="s">
        <v>109</v>
      </c>
    </row>
    <row r="127">
      <c r="A127" s="0" t="s">
        <v>28</v>
      </c>
      <c r="B127" s="0" t="s">
        <v>30</v>
      </c>
      <c r="C127" s="0" t="s">
        <v>161</v>
      </c>
      <c r="D127" s="0" t="s">
        <v>424</v>
      </c>
      <c r="E127" s="0" t="s">
        <v>223</v>
      </c>
      <c r="F127" s="0">
        <v>0</v>
      </c>
      <c r="G127" s="0" t="s">
        <v>106</v>
      </c>
      <c r="H127" s="0">
        <v>0</v>
      </c>
      <c r="I127" s="0">
        <v>0</v>
      </c>
      <c r="J127" s="0">
        <v>0</v>
      </c>
      <c r="K127" s="0">
        <v>0</v>
      </c>
      <c r="L127" s="0">
        <v>0</v>
      </c>
      <c r="M127" s="0">
        <v>0</v>
      </c>
      <c r="N127" s="0" t="b">
        <v>0</v>
      </c>
      <c r="O127" s="2">
        <v>44613.583333333336</v>
      </c>
      <c r="P127" s="2">
        <v>44613.625</v>
      </c>
      <c r="Q127" s="2">
        <v>44613.208333333336</v>
      </c>
      <c r="R127" s="2">
        <v>44613.25</v>
      </c>
      <c r="S127" s="0">
        <v>60</v>
      </c>
      <c r="T127" s="0">
        <v>12</v>
      </c>
      <c r="U127" s="0">
        <v>48</v>
      </c>
      <c r="V127" s="0">
        <v>721</v>
      </c>
      <c r="W127" s="1">
        <f>=HYPERLINK("10.175.1.14\MWEB.12\BT\EntityDetails.10.175.1.14.MWEB.12.-newsplus-re.721.xlsx", "&lt;Detail&gt;")</f>
      </c>
      <c r="X127" s="1">
        <f>=HYPERLINK("10.175.1.14\MWEB.12\BT\MetricGraphs.BT.10.175.1.14.MWEB.12.xlsx", "&lt;Metrics&gt;")</f>
      </c>
      <c r="Y127" s="1">
        <f>=HYPERLINK("10.175.1.14\MWEB.12\BT\FlameGraph.BT.10.175.1.14.MWEB.12.-newsplus-re.721.svg", "&lt;FlGraph&gt;")</f>
      </c>
      <c r="Z127" s="1">
        <f>=HYPERLINK("10.175.1.14\MWEB.12\BT\FlameChart.BT.10.175.1.14.MWEB.12.-newsplus-re.721.svg", "&lt;FlChart&gt;")</f>
      </c>
      <c r="AA127" s="0" t="s">
        <v>107</v>
      </c>
      <c r="AB127" s="0" t="s">
        <v>108</v>
      </c>
      <c r="AC127" s="0" t="s">
        <v>162</v>
      </c>
      <c r="AD127" s="0" t="s">
        <v>426</v>
      </c>
      <c r="AE127" s="0" t="s">
        <v>109</v>
      </c>
    </row>
    <row r="128">
      <c r="A128" s="0" t="s">
        <v>28</v>
      </c>
      <c r="B128" s="0" t="s">
        <v>30</v>
      </c>
      <c r="C128" s="0" t="s">
        <v>139</v>
      </c>
      <c r="D128" s="0" t="s">
        <v>427</v>
      </c>
      <c r="E128" s="0" t="s">
        <v>223</v>
      </c>
      <c r="F128" s="0">
        <v>0</v>
      </c>
      <c r="G128" s="0" t="s">
        <v>106</v>
      </c>
      <c r="H128" s="0">
        <v>0</v>
      </c>
      <c r="I128" s="0">
        <v>0</v>
      </c>
      <c r="J128" s="0">
        <v>0</v>
      </c>
      <c r="K128" s="0">
        <v>0</v>
      </c>
      <c r="L128" s="0">
        <v>0</v>
      </c>
      <c r="M128" s="0">
        <v>0</v>
      </c>
      <c r="N128" s="0" t="b">
        <v>0</v>
      </c>
      <c r="O128" s="2">
        <v>44613.583333333336</v>
      </c>
      <c r="P128" s="2">
        <v>44613.625</v>
      </c>
      <c r="Q128" s="2">
        <v>44613.208333333336</v>
      </c>
      <c r="R128" s="2">
        <v>44613.25</v>
      </c>
      <c r="S128" s="0">
        <v>60</v>
      </c>
      <c r="T128" s="0">
        <v>12</v>
      </c>
      <c r="U128" s="0">
        <v>35</v>
      </c>
      <c r="V128" s="0">
        <v>280</v>
      </c>
      <c r="W128" s="1">
        <f>=HYPERLINK("10.175.1.14\MWEB.12\BT\EntityDetails.10.175.1.14.MWEB.12.-newsplus-re.280.xlsx", "&lt;Detail&gt;")</f>
      </c>
      <c r="X128" s="1">
        <f>=HYPERLINK("10.175.1.14\MWEB.12\BT\MetricGraphs.BT.10.175.1.14.MWEB.12.xlsx", "&lt;Metrics&gt;")</f>
      </c>
      <c r="Y128" s="1">
        <f>=HYPERLINK("10.175.1.14\MWEB.12\BT\FlameGraph.BT.10.175.1.14.MWEB.12.-newsplus-re.280.svg", "&lt;FlGraph&gt;")</f>
      </c>
      <c r="Z128" s="1">
        <f>=HYPERLINK("10.175.1.14\MWEB.12\BT\FlameChart.BT.10.175.1.14.MWEB.12.-newsplus-re.280.svg", "&lt;FlChart&gt;")</f>
      </c>
      <c r="AA128" s="0" t="s">
        <v>107</v>
      </c>
      <c r="AB128" s="0" t="s">
        <v>108</v>
      </c>
      <c r="AC128" s="0" t="s">
        <v>142</v>
      </c>
      <c r="AD128" s="0" t="s">
        <v>428</v>
      </c>
      <c r="AE128" s="0" t="s">
        <v>109</v>
      </c>
    </row>
    <row r="129">
      <c r="A129" s="0" t="s">
        <v>28</v>
      </c>
      <c r="B129" s="0" t="s">
        <v>30</v>
      </c>
      <c r="C129" s="0" t="s">
        <v>139</v>
      </c>
      <c r="D129" s="0" t="s">
        <v>429</v>
      </c>
      <c r="E129" s="0" t="s">
        <v>223</v>
      </c>
      <c r="F129" s="0">
        <v>0</v>
      </c>
      <c r="G129" s="0" t="s">
        <v>106</v>
      </c>
      <c r="H129" s="0">
        <v>0</v>
      </c>
      <c r="I129" s="0">
        <v>0</v>
      </c>
      <c r="J129" s="0">
        <v>0</v>
      </c>
      <c r="K129" s="0">
        <v>0</v>
      </c>
      <c r="L129" s="0">
        <v>0</v>
      </c>
      <c r="M129" s="0">
        <v>0</v>
      </c>
      <c r="N129" s="0" t="b">
        <v>0</v>
      </c>
      <c r="O129" s="2">
        <v>44613.583333333336</v>
      </c>
      <c r="P129" s="2">
        <v>44613.625</v>
      </c>
      <c r="Q129" s="2">
        <v>44613.208333333336</v>
      </c>
      <c r="R129" s="2">
        <v>44613.25</v>
      </c>
      <c r="S129" s="0">
        <v>60</v>
      </c>
      <c r="T129" s="0">
        <v>12</v>
      </c>
      <c r="U129" s="0">
        <v>35</v>
      </c>
      <c r="V129" s="0">
        <v>231</v>
      </c>
      <c r="W129" s="1">
        <f>=HYPERLINK("10.175.1.14\MWEB.12\BT\EntityDetails.10.175.1.14.MWEB.12.-newsplus-re.231.xlsx", "&lt;Detail&gt;")</f>
      </c>
      <c r="X129" s="1">
        <f>=HYPERLINK("10.175.1.14\MWEB.12\BT\MetricGraphs.BT.10.175.1.14.MWEB.12.xlsx", "&lt;Metrics&gt;")</f>
      </c>
      <c r="Y129" s="1">
        <f>=HYPERLINK("10.175.1.14\MWEB.12\BT\FlameGraph.BT.10.175.1.14.MWEB.12.-newsplus-re.231.svg", "&lt;FlGraph&gt;")</f>
      </c>
      <c r="Z129" s="1">
        <f>=HYPERLINK("10.175.1.14\MWEB.12\BT\FlameChart.BT.10.175.1.14.MWEB.12.-newsplus-re.231.svg", "&lt;FlChart&gt;")</f>
      </c>
      <c r="AA129" s="0" t="s">
        <v>107</v>
      </c>
      <c r="AB129" s="0" t="s">
        <v>108</v>
      </c>
      <c r="AC129" s="0" t="s">
        <v>142</v>
      </c>
      <c r="AD129" s="0" t="s">
        <v>430</v>
      </c>
      <c r="AE129" s="0" t="s">
        <v>109</v>
      </c>
    </row>
    <row r="130">
      <c r="A130" s="0" t="s">
        <v>28</v>
      </c>
      <c r="B130" s="0" t="s">
        <v>30</v>
      </c>
      <c r="C130" s="0" t="s">
        <v>161</v>
      </c>
      <c r="D130" s="0" t="s">
        <v>429</v>
      </c>
      <c r="E130" s="0" t="s">
        <v>223</v>
      </c>
      <c r="F130" s="0">
        <v>0</v>
      </c>
      <c r="G130" s="0" t="s">
        <v>106</v>
      </c>
      <c r="H130" s="0">
        <v>0</v>
      </c>
      <c r="I130" s="0">
        <v>0</v>
      </c>
      <c r="J130" s="0">
        <v>0</v>
      </c>
      <c r="K130" s="0">
        <v>0</v>
      </c>
      <c r="L130" s="0">
        <v>0</v>
      </c>
      <c r="M130" s="0">
        <v>0</v>
      </c>
      <c r="N130" s="0" t="b">
        <v>0</v>
      </c>
      <c r="O130" s="2">
        <v>44613.583333333336</v>
      </c>
      <c r="P130" s="2">
        <v>44613.625</v>
      </c>
      <c r="Q130" s="2">
        <v>44613.208333333336</v>
      </c>
      <c r="R130" s="2">
        <v>44613.25</v>
      </c>
      <c r="S130" s="0">
        <v>60</v>
      </c>
      <c r="T130" s="0">
        <v>12</v>
      </c>
      <c r="U130" s="0">
        <v>48</v>
      </c>
      <c r="V130" s="0">
        <v>722</v>
      </c>
      <c r="W130" s="1">
        <f>=HYPERLINK("10.175.1.14\MWEB.12\BT\EntityDetails.10.175.1.14.MWEB.12.-newsplus-re.722.xlsx", "&lt;Detail&gt;")</f>
      </c>
      <c r="X130" s="1">
        <f>=HYPERLINK("10.175.1.14\MWEB.12\BT\MetricGraphs.BT.10.175.1.14.MWEB.12.xlsx", "&lt;Metrics&gt;")</f>
      </c>
      <c r="Y130" s="1">
        <f>=HYPERLINK("10.175.1.14\MWEB.12\BT\FlameGraph.BT.10.175.1.14.MWEB.12.-newsplus-re.722.svg", "&lt;FlGraph&gt;")</f>
      </c>
      <c r="Z130" s="1">
        <f>=HYPERLINK("10.175.1.14\MWEB.12\BT\FlameChart.BT.10.175.1.14.MWEB.12.-newsplus-re.722.svg", "&lt;FlChart&gt;")</f>
      </c>
      <c r="AA130" s="0" t="s">
        <v>107</v>
      </c>
      <c r="AB130" s="0" t="s">
        <v>108</v>
      </c>
      <c r="AC130" s="0" t="s">
        <v>162</v>
      </c>
      <c r="AD130" s="0" t="s">
        <v>431</v>
      </c>
      <c r="AE130" s="0" t="s">
        <v>109</v>
      </c>
    </row>
    <row r="131">
      <c r="A131" s="0" t="s">
        <v>28</v>
      </c>
      <c r="B131" s="0" t="s">
        <v>30</v>
      </c>
      <c r="C131" s="0" t="s">
        <v>139</v>
      </c>
      <c r="D131" s="0" t="s">
        <v>432</v>
      </c>
      <c r="E131" s="0" t="s">
        <v>223</v>
      </c>
      <c r="F131" s="0">
        <v>0</v>
      </c>
      <c r="G131" s="0" t="s">
        <v>106</v>
      </c>
      <c r="H131" s="0">
        <v>0</v>
      </c>
      <c r="I131" s="0">
        <v>0</v>
      </c>
      <c r="J131" s="0">
        <v>0</v>
      </c>
      <c r="K131" s="0">
        <v>0</v>
      </c>
      <c r="L131" s="0">
        <v>0</v>
      </c>
      <c r="M131" s="0">
        <v>0</v>
      </c>
      <c r="N131" s="0" t="b">
        <v>0</v>
      </c>
      <c r="O131" s="2">
        <v>44613.583333333336</v>
      </c>
      <c r="P131" s="2">
        <v>44613.625</v>
      </c>
      <c r="Q131" s="2">
        <v>44613.208333333336</v>
      </c>
      <c r="R131" s="2">
        <v>44613.25</v>
      </c>
      <c r="S131" s="0">
        <v>60</v>
      </c>
      <c r="T131" s="0">
        <v>12</v>
      </c>
      <c r="U131" s="0">
        <v>35</v>
      </c>
      <c r="V131" s="0">
        <v>248</v>
      </c>
      <c r="W131" s="1">
        <f>=HYPERLINK("10.175.1.14\MWEB.12\BT\EntityDetails.10.175.1.14.MWEB.12.-newsplus-re.248.xlsx", "&lt;Detail&gt;")</f>
      </c>
      <c r="X131" s="1">
        <f>=HYPERLINK("10.175.1.14\MWEB.12\BT\MetricGraphs.BT.10.175.1.14.MWEB.12.xlsx", "&lt;Metrics&gt;")</f>
      </c>
      <c r="Y131" s="1">
        <f>=HYPERLINK("10.175.1.14\MWEB.12\BT\FlameGraph.BT.10.175.1.14.MWEB.12.-newsplus-re.248.svg", "&lt;FlGraph&gt;")</f>
      </c>
      <c r="Z131" s="1">
        <f>=HYPERLINK("10.175.1.14\MWEB.12\BT\FlameChart.BT.10.175.1.14.MWEB.12.-newsplus-re.248.svg", "&lt;FlChart&gt;")</f>
      </c>
      <c r="AA131" s="0" t="s">
        <v>107</v>
      </c>
      <c r="AB131" s="0" t="s">
        <v>108</v>
      </c>
      <c r="AC131" s="0" t="s">
        <v>142</v>
      </c>
      <c r="AD131" s="0" t="s">
        <v>433</v>
      </c>
      <c r="AE131" s="0" t="s">
        <v>109</v>
      </c>
    </row>
    <row r="132">
      <c r="A132" s="0" t="s">
        <v>28</v>
      </c>
      <c r="B132" s="0" t="s">
        <v>30</v>
      </c>
      <c r="C132" s="0" t="s">
        <v>139</v>
      </c>
      <c r="D132" s="0" t="s">
        <v>434</v>
      </c>
      <c r="E132" s="0" t="s">
        <v>223</v>
      </c>
      <c r="F132" s="0">
        <v>0</v>
      </c>
      <c r="G132" s="0" t="s">
        <v>106</v>
      </c>
      <c r="H132" s="0">
        <v>0</v>
      </c>
      <c r="I132" s="0">
        <v>0</v>
      </c>
      <c r="J132" s="0">
        <v>0</v>
      </c>
      <c r="K132" s="0">
        <v>0</v>
      </c>
      <c r="L132" s="0">
        <v>0</v>
      </c>
      <c r="M132" s="0">
        <v>0</v>
      </c>
      <c r="N132" s="0" t="b">
        <v>0</v>
      </c>
      <c r="O132" s="2">
        <v>44613.583333333336</v>
      </c>
      <c r="P132" s="2">
        <v>44613.625</v>
      </c>
      <c r="Q132" s="2">
        <v>44613.208333333336</v>
      </c>
      <c r="R132" s="2">
        <v>44613.25</v>
      </c>
      <c r="S132" s="0">
        <v>60</v>
      </c>
      <c r="T132" s="0">
        <v>12</v>
      </c>
      <c r="U132" s="0">
        <v>35</v>
      </c>
      <c r="V132" s="0">
        <v>284</v>
      </c>
      <c r="W132" s="1">
        <f>=HYPERLINK("10.175.1.14\MWEB.12\BT\EntityDetails.10.175.1.14.MWEB.12.-newsplus-re.284.xlsx", "&lt;Detail&gt;")</f>
      </c>
      <c r="X132" s="1">
        <f>=HYPERLINK("10.175.1.14\MWEB.12\BT\MetricGraphs.BT.10.175.1.14.MWEB.12.xlsx", "&lt;Metrics&gt;")</f>
      </c>
      <c r="Y132" s="1">
        <f>=HYPERLINK("10.175.1.14\MWEB.12\BT\FlameGraph.BT.10.175.1.14.MWEB.12.-newsplus-re.284.svg", "&lt;FlGraph&gt;")</f>
      </c>
      <c r="Z132" s="1">
        <f>=HYPERLINK("10.175.1.14\MWEB.12\BT\FlameChart.BT.10.175.1.14.MWEB.12.-newsplus-re.284.svg", "&lt;FlChart&gt;")</f>
      </c>
      <c r="AA132" s="0" t="s">
        <v>107</v>
      </c>
      <c r="AB132" s="0" t="s">
        <v>108</v>
      </c>
      <c r="AC132" s="0" t="s">
        <v>142</v>
      </c>
      <c r="AD132" s="0" t="s">
        <v>435</v>
      </c>
      <c r="AE132" s="0" t="s">
        <v>109</v>
      </c>
    </row>
    <row r="133">
      <c r="A133" s="0" t="s">
        <v>28</v>
      </c>
      <c r="B133" s="0" t="s">
        <v>30</v>
      </c>
      <c r="C133" s="0" t="s">
        <v>139</v>
      </c>
      <c r="D133" s="0" t="s">
        <v>436</v>
      </c>
      <c r="E133" s="0" t="s">
        <v>223</v>
      </c>
      <c r="F133" s="0">
        <v>0</v>
      </c>
      <c r="G133" s="0" t="s">
        <v>106</v>
      </c>
      <c r="H133" s="0">
        <v>0</v>
      </c>
      <c r="I133" s="0">
        <v>0</v>
      </c>
      <c r="J133" s="0">
        <v>0</v>
      </c>
      <c r="K133" s="0">
        <v>0</v>
      </c>
      <c r="L133" s="0">
        <v>0</v>
      </c>
      <c r="M133" s="0">
        <v>0</v>
      </c>
      <c r="N133" s="0" t="b">
        <v>0</v>
      </c>
      <c r="O133" s="2">
        <v>44613.583333333336</v>
      </c>
      <c r="P133" s="2">
        <v>44613.625</v>
      </c>
      <c r="Q133" s="2">
        <v>44613.208333333336</v>
      </c>
      <c r="R133" s="2">
        <v>44613.25</v>
      </c>
      <c r="S133" s="0">
        <v>60</v>
      </c>
      <c r="T133" s="0">
        <v>12</v>
      </c>
      <c r="U133" s="0">
        <v>35</v>
      </c>
      <c r="V133" s="0">
        <v>285</v>
      </c>
      <c r="W133" s="1">
        <f>=HYPERLINK("10.175.1.14\MWEB.12\BT\EntityDetails.10.175.1.14.MWEB.12.-newsplus-re.285.xlsx", "&lt;Detail&gt;")</f>
      </c>
      <c r="X133" s="1">
        <f>=HYPERLINK("10.175.1.14\MWEB.12\BT\MetricGraphs.BT.10.175.1.14.MWEB.12.xlsx", "&lt;Metrics&gt;")</f>
      </c>
      <c r="Y133" s="1">
        <f>=HYPERLINK("10.175.1.14\MWEB.12\BT\FlameGraph.BT.10.175.1.14.MWEB.12.-newsplus-re.285.svg", "&lt;FlGraph&gt;")</f>
      </c>
      <c r="Z133" s="1">
        <f>=HYPERLINK("10.175.1.14\MWEB.12\BT\FlameChart.BT.10.175.1.14.MWEB.12.-newsplus-re.285.svg", "&lt;FlChart&gt;")</f>
      </c>
      <c r="AA133" s="0" t="s">
        <v>107</v>
      </c>
      <c r="AB133" s="0" t="s">
        <v>108</v>
      </c>
      <c r="AC133" s="0" t="s">
        <v>142</v>
      </c>
      <c r="AD133" s="0" t="s">
        <v>437</v>
      </c>
      <c r="AE133" s="0" t="s">
        <v>109</v>
      </c>
    </row>
    <row r="134">
      <c r="A134" s="0" t="s">
        <v>28</v>
      </c>
      <c r="B134" s="0" t="s">
        <v>30</v>
      </c>
      <c r="C134" s="0" t="s">
        <v>139</v>
      </c>
      <c r="D134" s="0" t="s">
        <v>438</v>
      </c>
      <c r="E134" s="0" t="s">
        <v>223</v>
      </c>
      <c r="F134" s="0">
        <v>0</v>
      </c>
      <c r="G134" s="0" t="s">
        <v>106</v>
      </c>
      <c r="H134" s="0">
        <v>0</v>
      </c>
      <c r="I134" s="0">
        <v>0</v>
      </c>
      <c r="J134" s="0">
        <v>0</v>
      </c>
      <c r="K134" s="0">
        <v>0</v>
      </c>
      <c r="L134" s="0">
        <v>0</v>
      </c>
      <c r="M134" s="0">
        <v>0</v>
      </c>
      <c r="N134" s="0" t="b">
        <v>0</v>
      </c>
      <c r="O134" s="2">
        <v>44613.583333333336</v>
      </c>
      <c r="P134" s="2">
        <v>44613.625</v>
      </c>
      <c r="Q134" s="2">
        <v>44613.208333333336</v>
      </c>
      <c r="R134" s="2">
        <v>44613.25</v>
      </c>
      <c r="S134" s="0">
        <v>60</v>
      </c>
      <c r="T134" s="0">
        <v>12</v>
      </c>
      <c r="U134" s="0">
        <v>35</v>
      </c>
      <c r="V134" s="0">
        <v>287</v>
      </c>
      <c r="W134" s="1">
        <f>=HYPERLINK("10.175.1.14\MWEB.12\BT\EntityDetails.10.175.1.14.MWEB.12.-newsplus-re.287.xlsx", "&lt;Detail&gt;")</f>
      </c>
      <c r="X134" s="1">
        <f>=HYPERLINK("10.175.1.14\MWEB.12\BT\MetricGraphs.BT.10.175.1.14.MWEB.12.xlsx", "&lt;Metrics&gt;")</f>
      </c>
      <c r="Y134" s="1">
        <f>=HYPERLINK("10.175.1.14\MWEB.12\BT\FlameGraph.BT.10.175.1.14.MWEB.12.-newsplus-re.287.svg", "&lt;FlGraph&gt;")</f>
      </c>
      <c r="Z134" s="1">
        <f>=HYPERLINK("10.175.1.14\MWEB.12\BT\FlameChart.BT.10.175.1.14.MWEB.12.-newsplus-re.287.svg", "&lt;FlChart&gt;")</f>
      </c>
      <c r="AA134" s="0" t="s">
        <v>107</v>
      </c>
      <c r="AB134" s="0" t="s">
        <v>108</v>
      </c>
      <c r="AC134" s="0" t="s">
        <v>142</v>
      </c>
      <c r="AD134" s="0" t="s">
        <v>439</v>
      </c>
      <c r="AE134" s="0" t="s">
        <v>109</v>
      </c>
    </row>
    <row r="135">
      <c r="A135" s="0" t="s">
        <v>28</v>
      </c>
      <c r="B135" s="0" t="s">
        <v>30</v>
      </c>
      <c r="C135" s="0" t="s">
        <v>139</v>
      </c>
      <c r="D135" s="0" t="s">
        <v>440</v>
      </c>
      <c r="E135" s="0" t="s">
        <v>223</v>
      </c>
      <c r="F135" s="0">
        <v>0</v>
      </c>
      <c r="G135" s="0" t="s">
        <v>106</v>
      </c>
      <c r="H135" s="0">
        <v>0</v>
      </c>
      <c r="I135" s="0">
        <v>0</v>
      </c>
      <c r="J135" s="0">
        <v>0</v>
      </c>
      <c r="K135" s="0">
        <v>0</v>
      </c>
      <c r="L135" s="0">
        <v>0</v>
      </c>
      <c r="M135" s="0">
        <v>0</v>
      </c>
      <c r="N135" s="0" t="b">
        <v>0</v>
      </c>
      <c r="O135" s="2">
        <v>44613.583333333336</v>
      </c>
      <c r="P135" s="2">
        <v>44613.625</v>
      </c>
      <c r="Q135" s="2">
        <v>44613.208333333336</v>
      </c>
      <c r="R135" s="2">
        <v>44613.25</v>
      </c>
      <c r="S135" s="0">
        <v>60</v>
      </c>
      <c r="T135" s="0">
        <v>12</v>
      </c>
      <c r="U135" s="0">
        <v>35</v>
      </c>
      <c r="V135" s="0">
        <v>288</v>
      </c>
      <c r="W135" s="1">
        <f>=HYPERLINK("10.175.1.14\MWEB.12\BT\EntityDetails.10.175.1.14.MWEB.12.-newsplus-re.288.xlsx", "&lt;Detail&gt;")</f>
      </c>
      <c r="X135" s="1">
        <f>=HYPERLINK("10.175.1.14\MWEB.12\BT\MetricGraphs.BT.10.175.1.14.MWEB.12.xlsx", "&lt;Metrics&gt;")</f>
      </c>
      <c r="Y135" s="1">
        <f>=HYPERLINK("10.175.1.14\MWEB.12\BT\FlameGraph.BT.10.175.1.14.MWEB.12.-newsplus-re.288.svg", "&lt;FlGraph&gt;")</f>
      </c>
      <c r="Z135" s="1">
        <f>=HYPERLINK("10.175.1.14\MWEB.12\BT\FlameChart.BT.10.175.1.14.MWEB.12.-newsplus-re.288.svg", "&lt;FlChart&gt;")</f>
      </c>
      <c r="AA135" s="0" t="s">
        <v>107</v>
      </c>
      <c r="AB135" s="0" t="s">
        <v>108</v>
      </c>
      <c r="AC135" s="0" t="s">
        <v>142</v>
      </c>
      <c r="AD135" s="0" t="s">
        <v>441</v>
      </c>
      <c r="AE135" s="0" t="s">
        <v>109</v>
      </c>
    </row>
    <row r="136">
      <c r="A136" s="0" t="s">
        <v>28</v>
      </c>
      <c r="B136" s="0" t="s">
        <v>30</v>
      </c>
      <c r="C136" s="0" t="s">
        <v>139</v>
      </c>
      <c r="D136" s="0" t="s">
        <v>442</v>
      </c>
      <c r="E136" s="0" t="s">
        <v>223</v>
      </c>
      <c r="F136" s="0">
        <v>0</v>
      </c>
      <c r="G136" s="0" t="s">
        <v>106</v>
      </c>
      <c r="H136" s="0">
        <v>0</v>
      </c>
      <c r="I136" s="0">
        <v>0</v>
      </c>
      <c r="J136" s="0">
        <v>0</v>
      </c>
      <c r="K136" s="0">
        <v>0</v>
      </c>
      <c r="L136" s="0">
        <v>0</v>
      </c>
      <c r="M136" s="0">
        <v>0</v>
      </c>
      <c r="N136" s="0" t="b">
        <v>0</v>
      </c>
      <c r="O136" s="2">
        <v>44613.583333333336</v>
      </c>
      <c r="P136" s="2">
        <v>44613.625</v>
      </c>
      <c r="Q136" s="2">
        <v>44613.208333333336</v>
      </c>
      <c r="R136" s="2">
        <v>44613.25</v>
      </c>
      <c r="S136" s="0">
        <v>60</v>
      </c>
      <c r="T136" s="0">
        <v>12</v>
      </c>
      <c r="U136" s="0">
        <v>35</v>
      </c>
      <c r="V136" s="0">
        <v>407</v>
      </c>
      <c r="W136" s="1">
        <f>=HYPERLINK("10.175.1.14\MWEB.12\BT\EntityDetails.10.175.1.14.MWEB.12.-newsplus-rw.407.xlsx", "&lt;Detail&gt;")</f>
      </c>
      <c r="X136" s="1">
        <f>=HYPERLINK("10.175.1.14\MWEB.12\BT\MetricGraphs.BT.10.175.1.14.MWEB.12.xlsx", "&lt;Metrics&gt;")</f>
      </c>
      <c r="Y136" s="1">
        <f>=HYPERLINK("10.175.1.14\MWEB.12\BT\FlameGraph.BT.10.175.1.14.MWEB.12.-newsplus-rw.407.svg", "&lt;FlGraph&gt;")</f>
      </c>
      <c r="Z136" s="1">
        <f>=HYPERLINK("10.175.1.14\MWEB.12\BT\FlameChart.BT.10.175.1.14.MWEB.12.-newsplus-rw.407.svg", "&lt;FlChart&gt;")</f>
      </c>
      <c r="AA136" s="0" t="s">
        <v>107</v>
      </c>
      <c r="AB136" s="0" t="s">
        <v>108</v>
      </c>
      <c r="AC136" s="0" t="s">
        <v>142</v>
      </c>
      <c r="AD136" s="0" t="s">
        <v>443</v>
      </c>
      <c r="AE136" s="0" t="s">
        <v>109</v>
      </c>
    </row>
    <row r="137">
      <c r="A137" s="0" t="s">
        <v>28</v>
      </c>
      <c r="B137" s="0" t="s">
        <v>30</v>
      </c>
      <c r="C137" s="0" t="s">
        <v>161</v>
      </c>
      <c r="D137" s="0" t="s">
        <v>442</v>
      </c>
      <c r="E137" s="0" t="s">
        <v>223</v>
      </c>
      <c r="F137" s="0">
        <v>0</v>
      </c>
      <c r="G137" s="0" t="s">
        <v>106</v>
      </c>
      <c r="H137" s="0">
        <v>0</v>
      </c>
      <c r="I137" s="0">
        <v>0</v>
      </c>
      <c r="J137" s="0">
        <v>0</v>
      </c>
      <c r="K137" s="0">
        <v>0</v>
      </c>
      <c r="L137" s="0">
        <v>0</v>
      </c>
      <c r="M137" s="0">
        <v>0</v>
      </c>
      <c r="N137" s="0" t="b">
        <v>0</v>
      </c>
      <c r="O137" s="2">
        <v>44613.583333333336</v>
      </c>
      <c r="P137" s="2">
        <v>44613.625</v>
      </c>
      <c r="Q137" s="2">
        <v>44613.208333333336</v>
      </c>
      <c r="R137" s="2">
        <v>44613.25</v>
      </c>
      <c r="S137" s="0">
        <v>60</v>
      </c>
      <c r="T137" s="0">
        <v>12</v>
      </c>
      <c r="U137" s="0">
        <v>48</v>
      </c>
      <c r="V137" s="0">
        <v>899</v>
      </c>
      <c r="W137" s="1">
        <f>=HYPERLINK("10.175.1.14\MWEB.12\BT\EntityDetails.10.175.1.14.MWEB.12.-newsplus-rw.899.xlsx", "&lt;Detail&gt;")</f>
      </c>
      <c r="X137" s="1">
        <f>=HYPERLINK("10.175.1.14\MWEB.12\BT\MetricGraphs.BT.10.175.1.14.MWEB.12.xlsx", "&lt;Metrics&gt;")</f>
      </c>
      <c r="Y137" s="1">
        <f>=HYPERLINK("10.175.1.14\MWEB.12\BT\FlameGraph.BT.10.175.1.14.MWEB.12.-newsplus-rw.899.svg", "&lt;FlGraph&gt;")</f>
      </c>
      <c r="Z137" s="1">
        <f>=HYPERLINK("10.175.1.14\MWEB.12\BT\FlameChart.BT.10.175.1.14.MWEB.12.-newsplus-rw.899.svg", "&lt;FlChart&gt;")</f>
      </c>
      <c r="AA137" s="0" t="s">
        <v>107</v>
      </c>
      <c r="AB137" s="0" t="s">
        <v>108</v>
      </c>
      <c r="AC137" s="0" t="s">
        <v>162</v>
      </c>
      <c r="AD137" s="0" t="s">
        <v>444</v>
      </c>
      <c r="AE137" s="0" t="s">
        <v>109</v>
      </c>
    </row>
    <row r="138">
      <c r="A138" s="0" t="s">
        <v>28</v>
      </c>
      <c r="B138" s="0" t="s">
        <v>30</v>
      </c>
      <c r="C138" s="0" t="s">
        <v>139</v>
      </c>
      <c r="D138" s="0" t="s">
        <v>445</v>
      </c>
      <c r="E138" s="0" t="s">
        <v>223</v>
      </c>
      <c r="F138" s="0">
        <v>0</v>
      </c>
      <c r="G138" s="0" t="s">
        <v>106</v>
      </c>
      <c r="H138" s="0">
        <v>0</v>
      </c>
      <c r="I138" s="0">
        <v>0</v>
      </c>
      <c r="J138" s="0">
        <v>0</v>
      </c>
      <c r="K138" s="0">
        <v>0</v>
      </c>
      <c r="L138" s="0">
        <v>0</v>
      </c>
      <c r="M138" s="0">
        <v>0</v>
      </c>
      <c r="N138" s="0" t="b">
        <v>0</v>
      </c>
      <c r="O138" s="2">
        <v>44613.583333333336</v>
      </c>
      <c r="P138" s="2">
        <v>44613.625</v>
      </c>
      <c r="Q138" s="2">
        <v>44613.208333333336</v>
      </c>
      <c r="R138" s="2">
        <v>44613.25</v>
      </c>
      <c r="S138" s="0">
        <v>60</v>
      </c>
      <c r="T138" s="0">
        <v>12</v>
      </c>
      <c r="U138" s="0">
        <v>35</v>
      </c>
      <c r="V138" s="0">
        <v>348</v>
      </c>
      <c r="W138" s="1">
        <f>=HYPERLINK("10.175.1.14\MWEB.12\BT\EntityDetails.10.175.1.14.MWEB.12.-newsplus-sa.348.xlsx", "&lt;Detail&gt;")</f>
      </c>
      <c r="X138" s="1">
        <f>=HYPERLINK("10.175.1.14\MWEB.12\BT\MetricGraphs.BT.10.175.1.14.MWEB.12.xlsx", "&lt;Metrics&gt;")</f>
      </c>
      <c r="Y138" s="1">
        <f>=HYPERLINK("10.175.1.14\MWEB.12\BT\FlameGraph.BT.10.175.1.14.MWEB.12.-newsplus-sa.348.svg", "&lt;FlGraph&gt;")</f>
      </c>
      <c r="Z138" s="1">
        <f>=HYPERLINK("10.175.1.14\MWEB.12\BT\FlameChart.BT.10.175.1.14.MWEB.12.-newsplus-sa.348.svg", "&lt;FlChart&gt;")</f>
      </c>
      <c r="AA138" s="0" t="s">
        <v>107</v>
      </c>
      <c r="AB138" s="0" t="s">
        <v>108</v>
      </c>
      <c r="AC138" s="0" t="s">
        <v>142</v>
      </c>
      <c r="AD138" s="0" t="s">
        <v>446</v>
      </c>
      <c r="AE138" s="0" t="s">
        <v>109</v>
      </c>
    </row>
    <row r="139">
      <c r="A139" s="0" t="s">
        <v>28</v>
      </c>
      <c r="B139" s="0" t="s">
        <v>30</v>
      </c>
      <c r="C139" s="0" t="s">
        <v>139</v>
      </c>
      <c r="D139" s="0" t="s">
        <v>447</v>
      </c>
      <c r="E139" s="0" t="s">
        <v>223</v>
      </c>
      <c r="F139" s="0">
        <v>0</v>
      </c>
      <c r="G139" s="0" t="s">
        <v>106</v>
      </c>
      <c r="H139" s="0">
        <v>0</v>
      </c>
      <c r="I139" s="0">
        <v>0</v>
      </c>
      <c r="J139" s="0">
        <v>0</v>
      </c>
      <c r="K139" s="0">
        <v>0</v>
      </c>
      <c r="L139" s="0">
        <v>0</v>
      </c>
      <c r="M139" s="0">
        <v>0</v>
      </c>
      <c r="N139" s="0" t="b">
        <v>0</v>
      </c>
      <c r="O139" s="2">
        <v>44613.583333333336</v>
      </c>
      <c r="P139" s="2">
        <v>44613.625</v>
      </c>
      <c r="Q139" s="2">
        <v>44613.208333333336</v>
      </c>
      <c r="R139" s="2">
        <v>44613.25</v>
      </c>
      <c r="S139" s="0">
        <v>60</v>
      </c>
      <c r="T139" s="0">
        <v>12</v>
      </c>
      <c r="U139" s="0">
        <v>35</v>
      </c>
      <c r="V139" s="0">
        <v>249</v>
      </c>
      <c r="W139" s="1">
        <f>=HYPERLINK("10.175.1.14\MWEB.12\BT\EntityDetails.10.175.1.14.MWEB.12.-newsplus-se.249.xlsx", "&lt;Detail&gt;")</f>
      </c>
      <c r="X139" s="1">
        <f>=HYPERLINK("10.175.1.14\MWEB.12\BT\MetricGraphs.BT.10.175.1.14.MWEB.12.xlsx", "&lt;Metrics&gt;")</f>
      </c>
      <c r="Y139" s="1">
        <f>=HYPERLINK("10.175.1.14\MWEB.12\BT\FlameGraph.BT.10.175.1.14.MWEB.12.-newsplus-se.249.svg", "&lt;FlGraph&gt;")</f>
      </c>
      <c r="Z139" s="1">
        <f>=HYPERLINK("10.175.1.14\MWEB.12\BT\FlameChart.BT.10.175.1.14.MWEB.12.-newsplus-se.249.svg", "&lt;FlChart&gt;")</f>
      </c>
      <c r="AA139" s="0" t="s">
        <v>107</v>
      </c>
      <c r="AB139" s="0" t="s">
        <v>108</v>
      </c>
      <c r="AC139" s="0" t="s">
        <v>142</v>
      </c>
      <c r="AD139" s="0" t="s">
        <v>448</v>
      </c>
      <c r="AE139" s="0" t="s">
        <v>109</v>
      </c>
    </row>
    <row r="140">
      <c r="A140" s="0" t="s">
        <v>28</v>
      </c>
      <c r="B140" s="0" t="s">
        <v>30</v>
      </c>
      <c r="C140" s="0" t="s">
        <v>139</v>
      </c>
      <c r="D140" s="0" t="s">
        <v>449</v>
      </c>
      <c r="E140" s="0" t="s">
        <v>223</v>
      </c>
      <c r="F140" s="0">
        <v>0</v>
      </c>
      <c r="G140" s="0" t="s">
        <v>106</v>
      </c>
      <c r="H140" s="0">
        <v>0</v>
      </c>
      <c r="I140" s="0">
        <v>0</v>
      </c>
      <c r="J140" s="0">
        <v>0</v>
      </c>
      <c r="K140" s="0">
        <v>0</v>
      </c>
      <c r="L140" s="0">
        <v>0</v>
      </c>
      <c r="M140" s="0">
        <v>0</v>
      </c>
      <c r="N140" s="0" t="b">
        <v>0</v>
      </c>
      <c r="O140" s="2">
        <v>44613.583333333336</v>
      </c>
      <c r="P140" s="2">
        <v>44613.625</v>
      </c>
      <c r="Q140" s="2">
        <v>44613.208333333336</v>
      </c>
      <c r="R140" s="2">
        <v>44613.25</v>
      </c>
      <c r="S140" s="0">
        <v>60</v>
      </c>
      <c r="T140" s="0">
        <v>12</v>
      </c>
      <c r="U140" s="0">
        <v>35</v>
      </c>
      <c r="V140" s="0">
        <v>294</v>
      </c>
      <c r="W140" s="1">
        <f>=HYPERLINK("10.175.1.14\MWEB.12\BT\EntityDetails.10.175.1.14.MWEB.12.-newsplus-se.294.xlsx", "&lt;Detail&gt;")</f>
      </c>
      <c r="X140" s="1">
        <f>=HYPERLINK("10.175.1.14\MWEB.12\BT\MetricGraphs.BT.10.175.1.14.MWEB.12.xlsx", "&lt;Metrics&gt;")</f>
      </c>
      <c r="Y140" s="1">
        <f>=HYPERLINK("10.175.1.14\MWEB.12\BT\FlameGraph.BT.10.175.1.14.MWEB.12.-newsplus-se.294.svg", "&lt;FlGraph&gt;")</f>
      </c>
      <c r="Z140" s="1">
        <f>=HYPERLINK("10.175.1.14\MWEB.12\BT\FlameChart.BT.10.175.1.14.MWEB.12.-newsplus-se.294.svg", "&lt;FlChart&gt;")</f>
      </c>
      <c r="AA140" s="0" t="s">
        <v>107</v>
      </c>
      <c r="AB140" s="0" t="s">
        <v>108</v>
      </c>
      <c r="AC140" s="0" t="s">
        <v>142</v>
      </c>
      <c r="AD140" s="0" t="s">
        <v>450</v>
      </c>
      <c r="AE140" s="0" t="s">
        <v>109</v>
      </c>
    </row>
    <row r="141">
      <c r="A141" s="0" t="s">
        <v>28</v>
      </c>
      <c r="B141" s="0" t="s">
        <v>30</v>
      </c>
      <c r="C141" s="0" t="s">
        <v>161</v>
      </c>
      <c r="D141" s="0" t="s">
        <v>449</v>
      </c>
      <c r="E141" s="0" t="s">
        <v>223</v>
      </c>
      <c r="F141" s="0">
        <v>0</v>
      </c>
      <c r="G141" s="0" t="s">
        <v>106</v>
      </c>
      <c r="H141" s="0">
        <v>0</v>
      </c>
      <c r="I141" s="0">
        <v>0</v>
      </c>
      <c r="J141" s="0">
        <v>0</v>
      </c>
      <c r="K141" s="0">
        <v>0</v>
      </c>
      <c r="L141" s="0">
        <v>0</v>
      </c>
      <c r="M141" s="0">
        <v>0</v>
      </c>
      <c r="N141" s="0" t="b">
        <v>0</v>
      </c>
      <c r="O141" s="2">
        <v>44613.583333333336</v>
      </c>
      <c r="P141" s="2">
        <v>44613.625</v>
      </c>
      <c r="Q141" s="2">
        <v>44613.208333333336</v>
      </c>
      <c r="R141" s="2">
        <v>44613.25</v>
      </c>
      <c r="S141" s="0">
        <v>60</v>
      </c>
      <c r="T141" s="0">
        <v>12</v>
      </c>
      <c r="U141" s="0">
        <v>48</v>
      </c>
      <c r="V141" s="0">
        <v>723</v>
      </c>
      <c r="W141" s="1">
        <f>=HYPERLINK("10.175.1.14\MWEB.12\BT\EntityDetails.10.175.1.14.MWEB.12.-newsplus-se.723.xlsx", "&lt;Detail&gt;")</f>
      </c>
      <c r="X141" s="1">
        <f>=HYPERLINK("10.175.1.14\MWEB.12\BT\MetricGraphs.BT.10.175.1.14.MWEB.12.xlsx", "&lt;Metrics&gt;")</f>
      </c>
      <c r="Y141" s="1">
        <f>=HYPERLINK("10.175.1.14\MWEB.12\BT\FlameGraph.BT.10.175.1.14.MWEB.12.-newsplus-se.723.svg", "&lt;FlGraph&gt;")</f>
      </c>
      <c r="Z141" s="1">
        <f>=HYPERLINK("10.175.1.14\MWEB.12\BT\FlameChart.BT.10.175.1.14.MWEB.12.-newsplus-se.723.svg", "&lt;FlChart&gt;")</f>
      </c>
      <c r="AA141" s="0" t="s">
        <v>107</v>
      </c>
      <c r="AB141" s="0" t="s">
        <v>108</v>
      </c>
      <c r="AC141" s="0" t="s">
        <v>162</v>
      </c>
      <c r="AD141" s="0" t="s">
        <v>451</v>
      </c>
      <c r="AE141" s="0" t="s">
        <v>109</v>
      </c>
    </row>
    <row r="142">
      <c r="A142" s="0" t="s">
        <v>28</v>
      </c>
      <c r="B142" s="0" t="s">
        <v>30</v>
      </c>
      <c r="C142" s="0" t="s">
        <v>139</v>
      </c>
      <c r="D142" s="0" t="s">
        <v>452</v>
      </c>
      <c r="E142" s="0" t="s">
        <v>223</v>
      </c>
      <c r="F142" s="0">
        <v>0</v>
      </c>
      <c r="G142" s="0" t="s">
        <v>106</v>
      </c>
      <c r="H142" s="0">
        <v>0</v>
      </c>
      <c r="I142" s="0">
        <v>0</v>
      </c>
      <c r="J142" s="0">
        <v>0</v>
      </c>
      <c r="K142" s="0">
        <v>0</v>
      </c>
      <c r="L142" s="0">
        <v>0</v>
      </c>
      <c r="M142" s="0">
        <v>0</v>
      </c>
      <c r="N142" s="0" t="b">
        <v>0</v>
      </c>
      <c r="O142" s="2">
        <v>44613.583333333336</v>
      </c>
      <c r="P142" s="2">
        <v>44613.625</v>
      </c>
      <c r="Q142" s="2">
        <v>44613.208333333336</v>
      </c>
      <c r="R142" s="2">
        <v>44613.25</v>
      </c>
      <c r="S142" s="0">
        <v>60</v>
      </c>
      <c r="T142" s="0">
        <v>12</v>
      </c>
      <c r="U142" s="0">
        <v>35</v>
      </c>
      <c r="V142" s="0">
        <v>121</v>
      </c>
      <c r="W142" s="1">
        <f>=HYPERLINK("10.175.1.14\MWEB.12\BT\EntityDetails.10.175.1.14.MWEB.12.-newsplus-sh.121.xlsx", "&lt;Detail&gt;")</f>
      </c>
      <c r="X142" s="1">
        <f>=HYPERLINK("10.175.1.14\MWEB.12\BT\MetricGraphs.BT.10.175.1.14.MWEB.12.xlsx", "&lt;Metrics&gt;")</f>
      </c>
      <c r="Y142" s="1">
        <f>=HYPERLINK("10.175.1.14\MWEB.12\BT\FlameGraph.BT.10.175.1.14.MWEB.12.-newsplus-sh.121.svg", "&lt;FlGraph&gt;")</f>
      </c>
      <c r="Z142" s="1">
        <f>=HYPERLINK("10.175.1.14\MWEB.12\BT\FlameChart.BT.10.175.1.14.MWEB.12.-newsplus-sh.121.svg", "&lt;FlChart&gt;")</f>
      </c>
      <c r="AA142" s="0" t="s">
        <v>107</v>
      </c>
      <c r="AB142" s="0" t="s">
        <v>108</v>
      </c>
      <c r="AC142" s="0" t="s">
        <v>142</v>
      </c>
      <c r="AD142" s="0" t="s">
        <v>453</v>
      </c>
      <c r="AE142" s="0" t="s">
        <v>109</v>
      </c>
    </row>
    <row r="143">
      <c r="A143" s="0" t="s">
        <v>28</v>
      </c>
      <c r="B143" s="0" t="s">
        <v>30</v>
      </c>
      <c r="C143" s="0" t="s">
        <v>161</v>
      </c>
      <c r="D143" s="0" t="s">
        <v>452</v>
      </c>
      <c r="E143" s="0" t="s">
        <v>223</v>
      </c>
      <c r="F143" s="0">
        <v>0</v>
      </c>
      <c r="G143" s="0" t="s">
        <v>106</v>
      </c>
      <c r="H143" s="0">
        <v>0</v>
      </c>
      <c r="I143" s="0">
        <v>0</v>
      </c>
      <c r="J143" s="0">
        <v>0</v>
      </c>
      <c r="K143" s="0">
        <v>0</v>
      </c>
      <c r="L143" s="0">
        <v>0</v>
      </c>
      <c r="M143" s="0">
        <v>0</v>
      </c>
      <c r="N143" s="0" t="b">
        <v>0</v>
      </c>
      <c r="O143" s="2">
        <v>44613.583333333336</v>
      </c>
      <c r="P143" s="2">
        <v>44613.625</v>
      </c>
      <c r="Q143" s="2">
        <v>44613.208333333336</v>
      </c>
      <c r="R143" s="2">
        <v>44613.25</v>
      </c>
      <c r="S143" s="0">
        <v>60</v>
      </c>
      <c r="T143" s="0">
        <v>12</v>
      </c>
      <c r="U143" s="0">
        <v>48</v>
      </c>
      <c r="V143" s="0">
        <v>902</v>
      </c>
      <c r="W143" s="1">
        <f>=HYPERLINK("10.175.1.14\MWEB.12\BT\EntityDetails.10.175.1.14.MWEB.12.-newsplus-sh.902.xlsx", "&lt;Detail&gt;")</f>
      </c>
      <c r="X143" s="1">
        <f>=HYPERLINK("10.175.1.14\MWEB.12\BT\MetricGraphs.BT.10.175.1.14.MWEB.12.xlsx", "&lt;Metrics&gt;")</f>
      </c>
      <c r="Y143" s="1">
        <f>=HYPERLINK("10.175.1.14\MWEB.12\BT\FlameGraph.BT.10.175.1.14.MWEB.12.-newsplus-sh.902.svg", "&lt;FlGraph&gt;")</f>
      </c>
      <c r="Z143" s="1">
        <f>=HYPERLINK("10.175.1.14\MWEB.12\BT\FlameChart.BT.10.175.1.14.MWEB.12.-newsplus-sh.902.svg", "&lt;FlChart&gt;")</f>
      </c>
      <c r="AA143" s="0" t="s">
        <v>107</v>
      </c>
      <c r="AB143" s="0" t="s">
        <v>108</v>
      </c>
      <c r="AC143" s="0" t="s">
        <v>162</v>
      </c>
      <c r="AD143" s="0" t="s">
        <v>454</v>
      </c>
      <c r="AE143" s="0" t="s">
        <v>109</v>
      </c>
    </row>
    <row r="144">
      <c r="A144" s="0" t="s">
        <v>28</v>
      </c>
      <c r="B144" s="0" t="s">
        <v>30</v>
      </c>
      <c r="C144" s="0" t="s">
        <v>139</v>
      </c>
      <c r="D144" s="0" t="s">
        <v>455</v>
      </c>
      <c r="E144" s="0" t="s">
        <v>223</v>
      </c>
      <c r="F144" s="0">
        <v>0</v>
      </c>
      <c r="G144" s="0" t="s">
        <v>106</v>
      </c>
      <c r="H144" s="0">
        <v>0</v>
      </c>
      <c r="I144" s="0">
        <v>0</v>
      </c>
      <c r="J144" s="0">
        <v>0</v>
      </c>
      <c r="K144" s="0">
        <v>0</v>
      </c>
      <c r="L144" s="0">
        <v>0</v>
      </c>
      <c r="M144" s="0">
        <v>0</v>
      </c>
      <c r="N144" s="0" t="b">
        <v>0</v>
      </c>
      <c r="O144" s="2">
        <v>44613.583333333336</v>
      </c>
      <c r="P144" s="2">
        <v>44613.625</v>
      </c>
      <c r="Q144" s="2">
        <v>44613.208333333336</v>
      </c>
      <c r="R144" s="2">
        <v>44613.25</v>
      </c>
      <c r="S144" s="0">
        <v>60</v>
      </c>
      <c r="T144" s="0">
        <v>12</v>
      </c>
      <c r="U144" s="0">
        <v>35</v>
      </c>
      <c r="V144" s="0">
        <v>252</v>
      </c>
      <c r="W144" s="1">
        <f>=HYPERLINK("10.175.1.14\MWEB.12\BT\EntityDetails.10.175.1.14.MWEB.12.-newsplus-sh.252.xlsx", "&lt;Detail&gt;")</f>
      </c>
      <c r="X144" s="1">
        <f>=HYPERLINK("10.175.1.14\MWEB.12\BT\MetricGraphs.BT.10.175.1.14.MWEB.12.xlsx", "&lt;Metrics&gt;")</f>
      </c>
      <c r="Y144" s="1">
        <f>=HYPERLINK("10.175.1.14\MWEB.12\BT\FlameGraph.BT.10.175.1.14.MWEB.12.-newsplus-sh.252.svg", "&lt;FlGraph&gt;")</f>
      </c>
      <c r="Z144" s="1">
        <f>=HYPERLINK("10.175.1.14\MWEB.12\BT\FlameChart.BT.10.175.1.14.MWEB.12.-newsplus-sh.252.svg", "&lt;FlChart&gt;")</f>
      </c>
      <c r="AA144" s="0" t="s">
        <v>107</v>
      </c>
      <c r="AB144" s="0" t="s">
        <v>108</v>
      </c>
      <c r="AC144" s="0" t="s">
        <v>142</v>
      </c>
      <c r="AD144" s="0" t="s">
        <v>456</v>
      </c>
      <c r="AE144" s="0" t="s">
        <v>109</v>
      </c>
    </row>
    <row r="145">
      <c r="A145" s="0" t="s">
        <v>28</v>
      </c>
      <c r="B145" s="0" t="s">
        <v>30</v>
      </c>
      <c r="C145" s="0" t="s">
        <v>139</v>
      </c>
      <c r="D145" s="0" t="s">
        <v>457</v>
      </c>
      <c r="E145" s="0" t="s">
        <v>223</v>
      </c>
      <c r="F145" s="0">
        <v>0</v>
      </c>
      <c r="G145" s="0" t="s">
        <v>106</v>
      </c>
      <c r="H145" s="0">
        <v>0</v>
      </c>
      <c r="I145" s="0">
        <v>0</v>
      </c>
      <c r="J145" s="0">
        <v>0</v>
      </c>
      <c r="K145" s="0">
        <v>0</v>
      </c>
      <c r="L145" s="0">
        <v>0</v>
      </c>
      <c r="M145" s="0">
        <v>0</v>
      </c>
      <c r="N145" s="0" t="b">
        <v>0</v>
      </c>
      <c r="O145" s="2">
        <v>44613.583333333336</v>
      </c>
      <c r="P145" s="2">
        <v>44613.625</v>
      </c>
      <c r="Q145" s="2">
        <v>44613.208333333336</v>
      </c>
      <c r="R145" s="2">
        <v>44613.25</v>
      </c>
      <c r="S145" s="0">
        <v>60</v>
      </c>
      <c r="T145" s="0">
        <v>12</v>
      </c>
      <c r="U145" s="0">
        <v>35</v>
      </c>
      <c r="V145" s="0">
        <v>291</v>
      </c>
      <c r="W145" s="1">
        <f>=HYPERLINK("10.175.1.14\MWEB.12\BT\EntityDetails.10.175.1.14.MWEB.12.-newsplus-sh.291.xlsx", "&lt;Detail&gt;")</f>
      </c>
      <c r="X145" s="1">
        <f>=HYPERLINK("10.175.1.14\MWEB.12\BT\MetricGraphs.BT.10.175.1.14.MWEB.12.xlsx", "&lt;Metrics&gt;")</f>
      </c>
      <c r="Y145" s="1">
        <f>=HYPERLINK("10.175.1.14\MWEB.12\BT\FlameGraph.BT.10.175.1.14.MWEB.12.-newsplus-sh.291.svg", "&lt;FlGraph&gt;")</f>
      </c>
      <c r="Z145" s="1">
        <f>=HYPERLINK("10.175.1.14\MWEB.12\BT\FlameChart.BT.10.175.1.14.MWEB.12.-newsplus-sh.291.svg", "&lt;FlChart&gt;")</f>
      </c>
      <c r="AA145" s="0" t="s">
        <v>107</v>
      </c>
      <c r="AB145" s="0" t="s">
        <v>108</v>
      </c>
      <c r="AC145" s="0" t="s">
        <v>142</v>
      </c>
      <c r="AD145" s="0" t="s">
        <v>458</v>
      </c>
      <c r="AE145" s="0" t="s">
        <v>109</v>
      </c>
    </row>
    <row r="146">
      <c r="A146" s="0" t="s">
        <v>28</v>
      </c>
      <c r="B146" s="0" t="s">
        <v>30</v>
      </c>
      <c r="C146" s="0" t="s">
        <v>139</v>
      </c>
      <c r="D146" s="0" t="s">
        <v>459</v>
      </c>
      <c r="E146" s="0" t="s">
        <v>223</v>
      </c>
      <c r="F146" s="0">
        <v>0</v>
      </c>
      <c r="G146" s="0" t="s">
        <v>106</v>
      </c>
      <c r="H146" s="0">
        <v>0</v>
      </c>
      <c r="I146" s="0">
        <v>0</v>
      </c>
      <c r="J146" s="0">
        <v>0</v>
      </c>
      <c r="K146" s="0">
        <v>0</v>
      </c>
      <c r="L146" s="0">
        <v>0</v>
      </c>
      <c r="M146" s="0">
        <v>0</v>
      </c>
      <c r="N146" s="0" t="b">
        <v>0</v>
      </c>
      <c r="O146" s="2">
        <v>44613.583333333336</v>
      </c>
      <c r="P146" s="2">
        <v>44613.625</v>
      </c>
      <c r="Q146" s="2">
        <v>44613.208333333336</v>
      </c>
      <c r="R146" s="2">
        <v>44613.25</v>
      </c>
      <c r="S146" s="0">
        <v>60</v>
      </c>
      <c r="T146" s="0">
        <v>12</v>
      </c>
      <c r="U146" s="0">
        <v>35</v>
      </c>
      <c r="V146" s="0">
        <v>414</v>
      </c>
      <c r="W146" s="1">
        <f>=HYPERLINK("10.175.1.14\MWEB.12\BT\EntityDetails.10.175.1.14.MWEB.12.-newsplus-sy.414.xlsx", "&lt;Detail&gt;")</f>
      </c>
      <c r="X146" s="1">
        <f>=HYPERLINK("10.175.1.14\MWEB.12\BT\MetricGraphs.BT.10.175.1.14.MWEB.12.xlsx", "&lt;Metrics&gt;")</f>
      </c>
      <c r="Y146" s="1">
        <f>=HYPERLINK("10.175.1.14\MWEB.12\BT\FlameGraph.BT.10.175.1.14.MWEB.12.-newsplus-sy.414.svg", "&lt;FlGraph&gt;")</f>
      </c>
      <c r="Z146" s="1">
        <f>=HYPERLINK("10.175.1.14\MWEB.12\BT\FlameChart.BT.10.175.1.14.MWEB.12.-newsplus-sy.414.svg", "&lt;FlChart&gt;")</f>
      </c>
      <c r="AA146" s="0" t="s">
        <v>107</v>
      </c>
      <c r="AB146" s="0" t="s">
        <v>108</v>
      </c>
      <c r="AC146" s="0" t="s">
        <v>142</v>
      </c>
      <c r="AD146" s="0" t="s">
        <v>460</v>
      </c>
      <c r="AE146" s="0" t="s">
        <v>109</v>
      </c>
    </row>
    <row r="147">
      <c r="A147" s="0" t="s">
        <v>28</v>
      </c>
      <c r="B147" s="0" t="s">
        <v>30</v>
      </c>
      <c r="C147" s="0" t="s">
        <v>139</v>
      </c>
      <c r="D147" s="0" t="s">
        <v>461</v>
      </c>
      <c r="E147" s="0" t="s">
        <v>223</v>
      </c>
      <c r="F147" s="0">
        <v>0</v>
      </c>
      <c r="G147" s="0" t="s">
        <v>106</v>
      </c>
      <c r="H147" s="0">
        <v>0</v>
      </c>
      <c r="I147" s="0">
        <v>0</v>
      </c>
      <c r="J147" s="0">
        <v>0</v>
      </c>
      <c r="K147" s="0">
        <v>0</v>
      </c>
      <c r="L147" s="0">
        <v>0</v>
      </c>
      <c r="M147" s="0">
        <v>0</v>
      </c>
      <c r="N147" s="0" t="b">
        <v>0</v>
      </c>
      <c r="O147" s="2">
        <v>44613.583333333336</v>
      </c>
      <c r="P147" s="2">
        <v>44613.625</v>
      </c>
      <c r="Q147" s="2">
        <v>44613.208333333336</v>
      </c>
      <c r="R147" s="2">
        <v>44613.25</v>
      </c>
      <c r="S147" s="0">
        <v>60</v>
      </c>
      <c r="T147" s="0">
        <v>12</v>
      </c>
      <c r="U147" s="0">
        <v>35</v>
      </c>
      <c r="V147" s="0">
        <v>332</v>
      </c>
      <c r="W147" s="1">
        <f>=HYPERLINK("10.175.1.14\MWEB.12\BT\EntityDetails.10.175.1.14.MWEB.12.-newsplus-te.332.xlsx", "&lt;Detail&gt;")</f>
      </c>
      <c r="X147" s="1">
        <f>=HYPERLINK("10.175.1.14\MWEB.12\BT\MetricGraphs.BT.10.175.1.14.MWEB.12.xlsx", "&lt;Metrics&gt;")</f>
      </c>
      <c r="Y147" s="1">
        <f>=HYPERLINK("10.175.1.14\MWEB.12\BT\FlameGraph.BT.10.175.1.14.MWEB.12.-newsplus-te.332.svg", "&lt;FlGraph&gt;")</f>
      </c>
      <c r="Z147" s="1">
        <f>=HYPERLINK("10.175.1.14\MWEB.12\BT\FlameChart.BT.10.175.1.14.MWEB.12.-newsplus-te.332.svg", "&lt;FlChart&gt;")</f>
      </c>
      <c r="AA147" s="0" t="s">
        <v>107</v>
      </c>
      <c r="AB147" s="0" t="s">
        <v>108</v>
      </c>
      <c r="AC147" s="0" t="s">
        <v>142</v>
      </c>
      <c r="AD147" s="0" t="s">
        <v>462</v>
      </c>
      <c r="AE147" s="0" t="s">
        <v>109</v>
      </c>
    </row>
    <row r="148">
      <c r="A148" s="0" t="s">
        <v>28</v>
      </c>
      <c r="B148" s="0" t="s">
        <v>30</v>
      </c>
      <c r="C148" s="0" t="s">
        <v>139</v>
      </c>
      <c r="D148" s="0" t="s">
        <v>463</v>
      </c>
      <c r="E148" s="0" t="s">
        <v>223</v>
      </c>
      <c r="F148" s="0">
        <v>0</v>
      </c>
      <c r="G148" s="0" t="s">
        <v>106</v>
      </c>
      <c r="H148" s="0">
        <v>0</v>
      </c>
      <c r="I148" s="0">
        <v>0</v>
      </c>
      <c r="J148" s="0">
        <v>0</v>
      </c>
      <c r="K148" s="0">
        <v>0</v>
      </c>
      <c r="L148" s="0">
        <v>0</v>
      </c>
      <c r="M148" s="0">
        <v>0</v>
      </c>
      <c r="N148" s="0" t="b">
        <v>0</v>
      </c>
      <c r="O148" s="2">
        <v>44613.583333333336</v>
      </c>
      <c r="P148" s="2">
        <v>44613.625</v>
      </c>
      <c r="Q148" s="2">
        <v>44613.208333333336</v>
      </c>
      <c r="R148" s="2">
        <v>44613.25</v>
      </c>
      <c r="S148" s="0">
        <v>60</v>
      </c>
      <c r="T148" s="0">
        <v>12</v>
      </c>
      <c r="U148" s="0">
        <v>35</v>
      </c>
      <c r="V148" s="0">
        <v>345</v>
      </c>
      <c r="W148" s="1">
        <f>=HYPERLINK("10.175.1.14\MWEB.12\BT\EntityDetails.10.175.1.14.MWEB.12.-newsplus-ts.345.xlsx", "&lt;Detail&gt;")</f>
      </c>
      <c r="X148" s="1">
        <f>=HYPERLINK("10.175.1.14\MWEB.12\BT\MetricGraphs.BT.10.175.1.14.MWEB.12.xlsx", "&lt;Metrics&gt;")</f>
      </c>
      <c r="Y148" s="1">
        <f>=HYPERLINK("10.175.1.14\MWEB.12\BT\FlameGraph.BT.10.175.1.14.MWEB.12.-newsplus-ts.345.svg", "&lt;FlGraph&gt;")</f>
      </c>
      <c r="Z148" s="1">
        <f>=HYPERLINK("10.175.1.14\MWEB.12\BT\FlameChart.BT.10.175.1.14.MWEB.12.-newsplus-ts.345.svg", "&lt;FlChart&gt;")</f>
      </c>
      <c r="AA148" s="0" t="s">
        <v>107</v>
      </c>
      <c r="AB148" s="0" t="s">
        <v>108</v>
      </c>
      <c r="AC148" s="0" t="s">
        <v>142</v>
      </c>
      <c r="AD148" s="0" t="s">
        <v>464</v>
      </c>
      <c r="AE148" s="0" t="s">
        <v>109</v>
      </c>
    </row>
    <row r="149">
      <c r="A149" s="0" t="s">
        <v>28</v>
      </c>
      <c r="B149" s="0" t="s">
        <v>30</v>
      </c>
      <c r="C149" s="0" t="s">
        <v>161</v>
      </c>
      <c r="D149" s="0" t="s">
        <v>463</v>
      </c>
      <c r="E149" s="0" t="s">
        <v>223</v>
      </c>
      <c r="F149" s="0">
        <v>0</v>
      </c>
      <c r="G149" s="0" t="s">
        <v>106</v>
      </c>
      <c r="H149" s="0">
        <v>0</v>
      </c>
      <c r="I149" s="0">
        <v>0</v>
      </c>
      <c r="J149" s="0">
        <v>0</v>
      </c>
      <c r="K149" s="0">
        <v>0</v>
      </c>
      <c r="L149" s="0">
        <v>0</v>
      </c>
      <c r="M149" s="0">
        <v>0</v>
      </c>
      <c r="N149" s="0" t="b">
        <v>0</v>
      </c>
      <c r="O149" s="2">
        <v>44613.583333333336</v>
      </c>
      <c r="P149" s="2">
        <v>44613.625</v>
      </c>
      <c r="Q149" s="2">
        <v>44613.208333333336</v>
      </c>
      <c r="R149" s="2">
        <v>44613.25</v>
      </c>
      <c r="S149" s="0">
        <v>60</v>
      </c>
      <c r="T149" s="0">
        <v>12</v>
      </c>
      <c r="U149" s="0">
        <v>48</v>
      </c>
      <c r="V149" s="0">
        <v>912</v>
      </c>
      <c r="W149" s="1">
        <f>=HYPERLINK("10.175.1.14\MWEB.12\BT\EntityDetails.10.175.1.14.MWEB.12.-newsplus-ts.912.xlsx", "&lt;Detail&gt;")</f>
      </c>
      <c r="X149" s="1">
        <f>=HYPERLINK("10.175.1.14\MWEB.12\BT\MetricGraphs.BT.10.175.1.14.MWEB.12.xlsx", "&lt;Metrics&gt;")</f>
      </c>
      <c r="Y149" s="1">
        <f>=HYPERLINK("10.175.1.14\MWEB.12\BT\FlameGraph.BT.10.175.1.14.MWEB.12.-newsplus-ts.912.svg", "&lt;FlGraph&gt;")</f>
      </c>
      <c r="Z149" s="1">
        <f>=HYPERLINK("10.175.1.14\MWEB.12\BT\FlameChart.BT.10.175.1.14.MWEB.12.-newsplus-ts.912.svg", "&lt;FlChart&gt;")</f>
      </c>
      <c r="AA149" s="0" t="s">
        <v>107</v>
      </c>
      <c r="AB149" s="0" t="s">
        <v>108</v>
      </c>
      <c r="AC149" s="0" t="s">
        <v>162</v>
      </c>
      <c r="AD149" s="0" t="s">
        <v>465</v>
      </c>
      <c r="AE149" s="0" t="s">
        <v>109</v>
      </c>
    </row>
    <row r="150">
      <c r="A150" s="0" t="s">
        <v>28</v>
      </c>
      <c r="B150" s="0" t="s">
        <v>30</v>
      </c>
      <c r="C150" s="0" t="s">
        <v>139</v>
      </c>
      <c r="D150" s="0" t="s">
        <v>466</v>
      </c>
      <c r="E150" s="0" t="s">
        <v>223</v>
      </c>
      <c r="F150" s="0">
        <v>0</v>
      </c>
      <c r="G150" s="0" t="s">
        <v>106</v>
      </c>
      <c r="H150" s="0">
        <v>0</v>
      </c>
      <c r="I150" s="0">
        <v>0</v>
      </c>
      <c r="J150" s="0">
        <v>0</v>
      </c>
      <c r="K150" s="0">
        <v>0</v>
      </c>
      <c r="L150" s="0">
        <v>0</v>
      </c>
      <c r="M150" s="0">
        <v>0</v>
      </c>
      <c r="N150" s="0" t="b">
        <v>0</v>
      </c>
      <c r="O150" s="2">
        <v>44613.583333333336</v>
      </c>
      <c r="P150" s="2">
        <v>44613.625</v>
      </c>
      <c r="Q150" s="2">
        <v>44613.208333333336</v>
      </c>
      <c r="R150" s="2">
        <v>44613.25</v>
      </c>
      <c r="S150" s="0">
        <v>60</v>
      </c>
      <c r="T150" s="0">
        <v>12</v>
      </c>
      <c r="U150" s="0">
        <v>35</v>
      </c>
      <c r="V150" s="0">
        <v>236</v>
      </c>
      <c r="W150" s="1">
        <f>=HYPERLINK("10.175.1.14\MWEB.12\BT\EntityDetails.10.175.1.14.MWEB.12.-newsplus-va.236.xlsx", "&lt;Detail&gt;")</f>
      </c>
      <c r="X150" s="1">
        <f>=HYPERLINK("10.175.1.14\MWEB.12\BT\MetricGraphs.BT.10.175.1.14.MWEB.12.xlsx", "&lt;Metrics&gt;")</f>
      </c>
      <c r="Y150" s="1">
        <f>=HYPERLINK("10.175.1.14\MWEB.12\BT\FlameGraph.BT.10.175.1.14.MWEB.12.-newsplus-va.236.svg", "&lt;FlGraph&gt;")</f>
      </c>
      <c r="Z150" s="1">
        <f>=HYPERLINK("10.175.1.14\MWEB.12\BT\FlameChart.BT.10.175.1.14.MWEB.12.-newsplus-va.236.svg", "&lt;FlChart&gt;")</f>
      </c>
      <c r="AA150" s="0" t="s">
        <v>107</v>
      </c>
      <c r="AB150" s="0" t="s">
        <v>108</v>
      </c>
      <c r="AC150" s="0" t="s">
        <v>142</v>
      </c>
      <c r="AD150" s="0" t="s">
        <v>467</v>
      </c>
      <c r="AE150" s="0" t="s">
        <v>109</v>
      </c>
    </row>
    <row r="151">
      <c r="A151" s="0" t="s">
        <v>28</v>
      </c>
      <c r="B151" s="0" t="s">
        <v>30</v>
      </c>
      <c r="C151" s="0" t="s">
        <v>161</v>
      </c>
      <c r="D151" s="0" t="s">
        <v>466</v>
      </c>
      <c r="E151" s="0" t="s">
        <v>223</v>
      </c>
      <c r="F151" s="0">
        <v>0</v>
      </c>
      <c r="G151" s="0" t="s">
        <v>106</v>
      </c>
      <c r="H151" s="0">
        <v>0</v>
      </c>
      <c r="I151" s="0">
        <v>0</v>
      </c>
      <c r="J151" s="0">
        <v>0</v>
      </c>
      <c r="K151" s="0">
        <v>0</v>
      </c>
      <c r="L151" s="0">
        <v>0</v>
      </c>
      <c r="M151" s="0">
        <v>0</v>
      </c>
      <c r="N151" s="0" t="b">
        <v>0</v>
      </c>
      <c r="O151" s="2">
        <v>44613.583333333336</v>
      </c>
      <c r="P151" s="2">
        <v>44613.625</v>
      </c>
      <c r="Q151" s="2">
        <v>44613.208333333336</v>
      </c>
      <c r="R151" s="2">
        <v>44613.25</v>
      </c>
      <c r="S151" s="0">
        <v>60</v>
      </c>
      <c r="T151" s="0">
        <v>12</v>
      </c>
      <c r="U151" s="0">
        <v>48</v>
      </c>
      <c r="V151" s="0">
        <v>788</v>
      </c>
      <c r="W151" s="1">
        <f>=HYPERLINK("10.175.1.14\MWEB.12\BT\EntityDetails.10.175.1.14.MWEB.12.-newsplus-va.788.xlsx", "&lt;Detail&gt;")</f>
      </c>
      <c r="X151" s="1">
        <f>=HYPERLINK("10.175.1.14\MWEB.12\BT\MetricGraphs.BT.10.175.1.14.MWEB.12.xlsx", "&lt;Metrics&gt;")</f>
      </c>
      <c r="Y151" s="1">
        <f>=HYPERLINK("10.175.1.14\MWEB.12\BT\FlameGraph.BT.10.175.1.14.MWEB.12.-newsplus-va.788.svg", "&lt;FlGraph&gt;")</f>
      </c>
      <c r="Z151" s="1">
        <f>=HYPERLINK("10.175.1.14\MWEB.12\BT\FlameChart.BT.10.175.1.14.MWEB.12.-newsplus-va.788.svg", "&lt;FlChart&gt;")</f>
      </c>
      <c r="AA151" s="0" t="s">
        <v>107</v>
      </c>
      <c r="AB151" s="0" t="s">
        <v>108</v>
      </c>
      <c r="AC151" s="0" t="s">
        <v>162</v>
      </c>
      <c r="AD151" s="0" t="s">
        <v>468</v>
      </c>
      <c r="AE151" s="0" t="s">
        <v>109</v>
      </c>
    </row>
    <row r="152">
      <c r="A152" s="0" t="s">
        <v>28</v>
      </c>
      <c r="B152" s="0" t="s">
        <v>30</v>
      </c>
      <c r="C152" s="0" t="s">
        <v>139</v>
      </c>
      <c r="D152" s="0" t="s">
        <v>469</v>
      </c>
      <c r="E152" s="0" t="s">
        <v>223</v>
      </c>
      <c r="F152" s="0">
        <v>0</v>
      </c>
      <c r="G152" s="0" t="s">
        <v>106</v>
      </c>
      <c r="H152" s="0">
        <v>0</v>
      </c>
      <c r="I152" s="0">
        <v>0</v>
      </c>
      <c r="J152" s="0">
        <v>0</v>
      </c>
      <c r="K152" s="0">
        <v>0</v>
      </c>
      <c r="L152" s="0">
        <v>0</v>
      </c>
      <c r="M152" s="0">
        <v>0</v>
      </c>
      <c r="N152" s="0" t="b">
        <v>0</v>
      </c>
      <c r="O152" s="2">
        <v>44613.583333333336</v>
      </c>
      <c r="P152" s="2">
        <v>44613.625</v>
      </c>
      <c r="Q152" s="2">
        <v>44613.208333333336</v>
      </c>
      <c r="R152" s="2">
        <v>44613.25</v>
      </c>
      <c r="S152" s="0">
        <v>60</v>
      </c>
      <c r="T152" s="0">
        <v>12</v>
      </c>
      <c r="U152" s="0">
        <v>35</v>
      </c>
      <c r="V152" s="0">
        <v>226</v>
      </c>
      <c r="W152" s="1">
        <f>=HYPERLINK("10.175.1.14\MWEB.12\BT\EntityDetails.10.175.1.14.MWEB.12.-newsplus-vi.226.xlsx", "&lt;Detail&gt;")</f>
      </c>
      <c r="X152" s="1">
        <f>=HYPERLINK("10.175.1.14\MWEB.12\BT\MetricGraphs.BT.10.175.1.14.MWEB.12.xlsx", "&lt;Metrics&gt;")</f>
      </c>
      <c r="Y152" s="1">
        <f>=HYPERLINK("10.175.1.14\MWEB.12\BT\FlameGraph.BT.10.175.1.14.MWEB.12.-newsplus-vi.226.svg", "&lt;FlGraph&gt;")</f>
      </c>
      <c r="Z152" s="1">
        <f>=HYPERLINK("10.175.1.14\MWEB.12\BT\FlameChart.BT.10.175.1.14.MWEB.12.-newsplus-vi.226.svg", "&lt;FlChart&gt;")</f>
      </c>
      <c r="AA152" s="0" t="s">
        <v>107</v>
      </c>
      <c r="AB152" s="0" t="s">
        <v>108</v>
      </c>
      <c r="AC152" s="0" t="s">
        <v>142</v>
      </c>
      <c r="AD152" s="0" t="s">
        <v>470</v>
      </c>
      <c r="AE152" s="0" t="s">
        <v>109</v>
      </c>
    </row>
    <row r="153">
      <c r="A153" s="0" t="s">
        <v>28</v>
      </c>
      <c r="B153" s="0" t="s">
        <v>30</v>
      </c>
      <c r="C153" s="0" t="s">
        <v>139</v>
      </c>
      <c r="D153" s="0" t="s">
        <v>471</v>
      </c>
      <c r="E153" s="0" t="s">
        <v>223</v>
      </c>
      <c r="F153" s="0">
        <v>0</v>
      </c>
      <c r="G153" s="0" t="s">
        <v>106</v>
      </c>
      <c r="H153" s="0">
        <v>0</v>
      </c>
      <c r="I153" s="0">
        <v>0</v>
      </c>
      <c r="J153" s="0">
        <v>0</v>
      </c>
      <c r="K153" s="0">
        <v>0</v>
      </c>
      <c r="L153" s="0">
        <v>0</v>
      </c>
      <c r="M153" s="0">
        <v>0</v>
      </c>
      <c r="N153" s="0" t="b">
        <v>0</v>
      </c>
      <c r="O153" s="2">
        <v>44613.583333333336</v>
      </c>
      <c r="P153" s="2">
        <v>44613.625</v>
      </c>
      <c r="Q153" s="2">
        <v>44613.208333333336</v>
      </c>
      <c r="R153" s="2">
        <v>44613.25</v>
      </c>
      <c r="S153" s="0">
        <v>60</v>
      </c>
      <c r="T153" s="0">
        <v>12</v>
      </c>
      <c r="U153" s="0">
        <v>35</v>
      </c>
      <c r="V153" s="0">
        <v>93</v>
      </c>
      <c r="W153" s="1">
        <f>=HYPERLINK("10.175.1.14\MWEB.12\BT\EntityDetails.10.175.1.14.MWEB.12.-newsplus-vi.93.xlsx", "&lt;Detail&gt;")</f>
      </c>
      <c r="X153" s="1">
        <f>=HYPERLINK("10.175.1.14\MWEB.12\BT\MetricGraphs.BT.10.175.1.14.MWEB.12.xlsx", "&lt;Metrics&gt;")</f>
      </c>
      <c r="Y153" s="1">
        <f>=HYPERLINK("10.175.1.14\MWEB.12\BT\FlameGraph.BT.10.175.1.14.MWEB.12.-newsplus-vi.93.svg", "&lt;FlGraph&gt;")</f>
      </c>
      <c r="Z153" s="1">
        <f>=HYPERLINK("10.175.1.14\MWEB.12\BT\FlameChart.BT.10.175.1.14.MWEB.12.-newsplus-vi.93.svg", "&lt;FlChart&gt;")</f>
      </c>
      <c r="AA153" s="0" t="s">
        <v>107</v>
      </c>
      <c r="AB153" s="0" t="s">
        <v>108</v>
      </c>
      <c r="AC153" s="0" t="s">
        <v>142</v>
      </c>
      <c r="AD153" s="0" t="s">
        <v>472</v>
      </c>
      <c r="AE153" s="0" t="s">
        <v>109</v>
      </c>
    </row>
    <row r="154">
      <c r="A154" s="0" t="s">
        <v>28</v>
      </c>
      <c r="B154" s="0" t="s">
        <v>30</v>
      </c>
      <c r="C154" s="0" t="s">
        <v>161</v>
      </c>
      <c r="D154" s="0" t="s">
        <v>471</v>
      </c>
      <c r="E154" s="0" t="s">
        <v>223</v>
      </c>
      <c r="F154" s="0">
        <v>0</v>
      </c>
      <c r="G154" s="0" t="s">
        <v>106</v>
      </c>
      <c r="H154" s="0">
        <v>0</v>
      </c>
      <c r="I154" s="0">
        <v>0</v>
      </c>
      <c r="J154" s="0">
        <v>0</v>
      </c>
      <c r="K154" s="0">
        <v>0</v>
      </c>
      <c r="L154" s="0">
        <v>0</v>
      </c>
      <c r="M154" s="0">
        <v>0</v>
      </c>
      <c r="N154" s="0" t="b">
        <v>0</v>
      </c>
      <c r="O154" s="2">
        <v>44613.583333333336</v>
      </c>
      <c r="P154" s="2">
        <v>44613.625</v>
      </c>
      <c r="Q154" s="2">
        <v>44613.208333333336</v>
      </c>
      <c r="R154" s="2">
        <v>44613.25</v>
      </c>
      <c r="S154" s="0">
        <v>60</v>
      </c>
      <c r="T154" s="0">
        <v>12</v>
      </c>
      <c r="U154" s="0">
        <v>48</v>
      </c>
      <c r="V154" s="0">
        <v>716</v>
      </c>
      <c r="W154" s="1">
        <f>=HYPERLINK("10.175.1.14\MWEB.12\BT\EntityDetails.10.175.1.14.MWEB.12.-newsplus-vi.716.xlsx", "&lt;Detail&gt;")</f>
      </c>
      <c r="X154" s="1">
        <f>=HYPERLINK("10.175.1.14\MWEB.12\BT\MetricGraphs.BT.10.175.1.14.MWEB.12.xlsx", "&lt;Metrics&gt;")</f>
      </c>
      <c r="Y154" s="1">
        <f>=HYPERLINK("10.175.1.14\MWEB.12\BT\FlameGraph.BT.10.175.1.14.MWEB.12.-newsplus-vi.716.svg", "&lt;FlGraph&gt;")</f>
      </c>
      <c r="Z154" s="1">
        <f>=HYPERLINK("10.175.1.14\MWEB.12\BT\FlameChart.BT.10.175.1.14.MWEB.12.-newsplus-vi.716.svg", "&lt;FlChart&gt;")</f>
      </c>
      <c r="AA154" s="0" t="s">
        <v>107</v>
      </c>
      <c r="AB154" s="0" t="s">
        <v>108</v>
      </c>
      <c r="AC154" s="0" t="s">
        <v>162</v>
      </c>
      <c r="AD154" s="0" t="s">
        <v>473</v>
      </c>
      <c r="AE154" s="0" t="s">
        <v>109</v>
      </c>
    </row>
    <row r="155">
      <c r="A155" s="0" t="s">
        <v>28</v>
      </c>
      <c r="B155" s="0" t="s">
        <v>30</v>
      </c>
      <c r="C155" s="0" t="s">
        <v>139</v>
      </c>
      <c r="D155" s="0" t="s">
        <v>474</v>
      </c>
      <c r="E155" s="0" t="s">
        <v>223</v>
      </c>
      <c r="F155" s="0">
        <v>0</v>
      </c>
      <c r="G155" s="0" t="s">
        <v>106</v>
      </c>
      <c r="H155" s="0">
        <v>0</v>
      </c>
      <c r="I155" s="0">
        <v>0</v>
      </c>
      <c r="J155" s="0">
        <v>0</v>
      </c>
      <c r="K155" s="0">
        <v>0</v>
      </c>
      <c r="L155" s="0">
        <v>0</v>
      </c>
      <c r="M155" s="0">
        <v>0</v>
      </c>
      <c r="N155" s="0" t="b">
        <v>0</v>
      </c>
      <c r="O155" s="2">
        <v>44613.583333333336</v>
      </c>
      <c r="P155" s="2">
        <v>44613.625</v>
      </c>
      <c r="Q155" s="2">
        <v>44613.208333333336</v>
      </c>
      <c r="R155" s="2">
        <v>44613.25</v>
      </c>
      <c r="S155" s="0">
        <v>60</v>
      </c>
      <c r="T155" s="0">
        <v>12</v>
      </c>
      <c r="U155" s="0">
        <v>35</v>
      </c>
      <c r="V155" s="0">
        <v>267</v>
      </c>
      <c r="W155" s="1">
        <f>=HYPERLINK("10.175.1.14\MWEB.12\BT\EntityDetails.10.175.1.14.MWEB.12.-newsplus-vi.267.xlsx", "&lt;Detail&gt;")</f>
      </c>
      <c r="X155" s="1">
        <f>=HYPERLINK("10.175.1.14\MWEB.12\BT\MetricGraphs.BT.10.175.1.14.MWEB.12.xlsx", "&lt;Metrics&gt;")</f>
      </c>
      <c r="Y155" s="1">
        <f>=HYPERLINK("10.175.1.14\MWEB.12\BT\FlameGraph.BT.10.175.1.14.MWEB.12.-newsplus-vi.267.svg", "&lt;FlGraph&gt;")</f>
      </c>
      <c r="Z155" s="1">
        <f>=HYPERLINK("10.175.1.14\MWEB.12\BT\FlameChart.BT.10.175.1.14.MWEB.12.-newsplus-vi.267.svg", "&lt;FlChart&gt;")</f>
      </c>
      <c r="AA155" s="0" t="s">
        <v>107</v>
      </c>
      <c r="AB155" s="0" t="s">
        <v>108</v>
      </c>
      <c r="AC155" s="0" t="s">
        <v>142</v>
      </c>
      <c r="AD155" s="0" t="s">
        <v>475</v>
      </c>
      <c r="AE155" s="0" t="s">
        <v>109</v>
      </c>
    </row>
    <row r="156">
      <c r="A156" s="0" t="s">
        <v>28</v>
      </c>
      <c r="B156" s="0" t="s">
        <v>30</v>
      </c>
      <c r="C156" s="0" t="s">
        <v>139</v>
      </c>
      <c r="D156" s="0" t="s">
        <v>476</v>
      </c>
      <c r="E156" s="0" t="s">
        <v>223</v>
      </c>
      <c r="F156" s="0">
        <v>0</v>
      </c>
      <c r="G156" s="0" t="s">
        <v>106</v>
      </c>
      <c r="H156" s="0">
        <v>0</v>
      </c>
      <c r="I156" s="0">
        <v>0</v>
      </c>
      <c r="J156" s="0">
        <v>0</v>
      </c>
      <c r="K156" s="0">
        <v>0</v>
      </c>
      <c r="L156" s="0">
        <v>0</v>
      </c>
      <c r="M156" s="0">
        <v>0</v>
      </c>
      <c r="N156" s="0" t="b">
        <v>0</v>
      </c>
      <c r="O156" s="2">
        <v>44613.583333333336</v>
      </c>
      <c r="P156" s="2">
        <v>44613.625</v>
      </c>
      <c r="Q156" s="2">
        <v>44613.208333333336</v>
      </c>
      <c r="R156" s="2">
        <v>44613.25</v>
      </c>
      <c r="S156" s="0">
        <v>60</v>
      </c>
      <c r="T156" s="0">
        <v>12</v>
      </c>
      <c r="U156" s="0">
        <v>35</v>
      </c>
      <c r="V156" s="0">
        <v>88</v>
      </c>
      <c r="W156" s="1">
        <f>=HYPERLINK("10.175.1.14\MWEB.12\BT\EntityDetails.10.175.1.14.MWEB.12.-newsplus-vi.88.xlsx", "&lt;Detail&gt;")</f>
      </c>
      <c r="X156" s="1">
        <f>=HYPERLINK("10.175.1.14\MWEB.12\BT\MetricGraphs.BT.10.175.1.14.MWEB.12.xlsx", "&lt;Metrics&gt;")</f>
      </c>
      <c r="Y156" s="1">
        <f>=HYPERLINK("10.175.1.14\MWEB.12\BT\FlameGraph.BT.10.175.1.14.MWEB.12.-newsplus-vi.88.svg", "&lt;FlGraph&gt;")</f>
      </c>
      <c r="Z156" s="1">
        <f>=HYPERLINK("10.175.1.14\MWEB.12\BT\FlameChart.BT.10.175.1.14.MWEB.12.-newsplus-vi.88.svg", "&lt;FlChart&gt;")</f>
      </c>
      <c r="AA156" s="0" t="s">
        <v>107</v>
      </c>
      <c r="AB156" s="0" t="s">
        <v>108</v>
      </c>
      <c r="AC156" s="0" t="s">
        <v>142</v>
      </c>
      <c r="AD156" s="0" t="s">
        <v>477</v>
      </c>
      <c r="AE156" s="0" t="s">
        <v>109</v>
      </c>
    </row>
    <row r="157">
      <c r="A157" s="0" t="s">
        <v>28</v>
      </c>
      <c r="B157" s="0" t="s">
        <v>30</v>
      </c>
      <c r="C157" s="0" t="s">
        <v>161</v>
      </c>
      <c r="D157" s="0" t="s">
        <v>476</v>
      </c>
      <c r="E157" s="0" t="s">
        <v>223</v>
      </c>
      <c r="F157" s="0">
        <v>0</v>
      </c>
      <c r="G157" s="0" t="s">
        <v>106</v>
      </c>
      <c r="H157" s="0">
        <v>0</v>
      </c>
      <c r="I157" s="0">
        <v>0</v>
      </c>
      <c r="J157" s="0">
        <v>0</v>
      </c>
      <c r="K157" s="0">
        <v>0</v>
      </c>
      <c r="L157" s="0">
        <v>0</v>
      </c>
      <c r="M157" s="0">
        <v>0</v>
      </c>
      <c r="N157" s="0" t="b">
        <v>0</v>
      </c>
      <c r="O157" s="2">
        <v>44613.583333333336</v>
      </c>
      <c r="P157" s="2">
        <v>44613.625</v>
      </c>
      <c r="Q157" s="2">
        <v>44613.208333333336</v>
      </c>
      <c r="R157" s="2">
        <v>44613.25</v>
      </c>
      <c r="S157" s="0">
        <v>60</v>
      </c>
      <c r="T157" s="0">
        <v>12</v>
      </c>
      <c r="U157" s="0">
        <v>48</v>
      </c>
      <c r="V157" s="0">
        <v>686</v>
      </c>
      <c r="W157" s="1">
        <f>=HYPERLINK("10.175.1.14\MWEB.12\BT\EntityDetails.10.175.1.14.MWEB.12.-newsplus-vi.686.xlsx", "&lt;Detail&gt;")</f>
      </c>
      <c r="X157" s="1">
        <f>=HYPERLINK("10.175.1.14\MWEB.12\BT\MetricGraphs.BT.10.175.1.14.MWEB.12.xlsx", "&lt;Metrics&gt;")</f>
      </c>
      <c r="Y157" s="1">
        <f>=HYPERLINK("10.175.1.14\MWEB.12\BT\FlameGraph.BT.10.175.1.14.MWEB.12.-newsplus-vi.686.svg", "&lt;FlGraph&gt;")</f>
      </c>
      <c r="Z157" s="1">
        <f>=HYPERLINK("10.175.1.14\MWEB.12\BT\FlameChart.BT.10.175.1.14.MWEB.12.-newsplus-vi.686.svg", "&lt;FlChart&gt;")</f>
      </c>
      <c r="AA157" s="0" t="s">
        <v>107</v>
      </c>
      <c r="AB157" s="0" t="s">
        <v>108</v>
      </c>
      <c r="AC157" s="0" t="s">
        <v>162</v>
      </c>
      <c r="AD157" s="0" t="s">
        <v>478</v>
      </c>
      <c r="AE157" s="0" t="s">
        <v>109</v>
      </c>
    </row>
    <row r="158">
      <c r="A158" s="0" t="s">
        <v>28</v>
      </c>
      <c r="B158" s="0" t="s">
        <v>30</v>
      </c>
      <c r="C158" s="0" t="s">
        <v>145</v>
      </c>
      <c r="D158" s="0" t="s">
        <v>479</v>
      </c>
      <c r="E158" s="0" t="s">
        <v>229</v>
      </c>
      <c r="F158" s="0">
        <v>0</v>
      </c>
      <c r="G158" s="0" t="s">
        <v>106</v>
      </c>
      <c r="H158" s="0">
        <v>0</v>
      </c>
      <c r="I158" s="0">
        <v>0</v>
      </c>
      <c r="J158" s="0">
        <v>0</v>
      </c>
      <c r="K158" s="0">
        <v>0</v>
      </c>
      <c r="L158" s="0">
        <v>0</v>
      </c>
      <c r="M158" s="0">
        <v>0</v>
      </c>
      <c r="N158" s="0" t="b">
        <v>0</v>
      </c>
      <c r="O158" s="2">
        <v>44613.583333333336</v>
      </c>
      <c r="P158" s="2">
        <v>44613.625</v>
      </c>
      <c r="Q158" s="2">
        <v>44613.208333333336</v>
      </c>
      <c r="R158" s="2">
        <v>44613.25</v>
      </c>
      <c r="S158" s="0">
        <v>60</v>
      </c>
      <c r="T158" s="0">
        <v>12</v>
      </c>
      <c r="U158" s="0">
        <v>34</v>
      </c>
      <c r="V158" s="0">
        <v>228</v>
      </c>
      <c r="W158" s="1">
        <f>=HYPERLINK("10.175.1.14\MWEB.12\BT\EntityDetails.10.175.1.14.MWEB.12.-ondelay-Hea.228.xlsx", "&lt;Detail&gt;")</f>
      </c>
      <c r="X158" s="1">
        <f>=HYPERLINK("10.175.1.14\MWEB.12\BT\MetricGraphs.BT.10.175.1.14.MWEB.12.xlsx", "&lt;Metrics&gt;")</f>
      </c>
      <c r="Y158" s="1">
        <f>=HYPERLINK("10.175.1.14\MWEB.12\BT\FlameGraph.BT.10.175.1.14.MWEB.12.-ondelay-Hea.228.svg", "&lt;FlGraph&gt;")</f>
      </c>
      <c r="Z158" s="1">
        <f>=HYPERLINK("10.175.1.14\MWEB.12\BT\FlameChart.BT.10.175.1.14.MWEB.12.-ondelay-Hea.228.svg", "&lt;FlChart&gt;")</f>
      </c>
      <c r="AA158" s="0" t="s">
        <v>107</v>
      </c>
      <c r="AB158" s="0" t="s">
        <v>108</v>
      </c>
      <c r="AC158" s="0" t="s">
        <v>146</v>
      </c>
      <c r="AD158" s="0" t="s">
        <v>480</v>
      </c>
      <c r="AE158" s="0" t="s">
        <v>109</v>
      </c>
    </row>
    <row r="159">
      <c r="A159" s="0" t="s">
        <v>28</v>
      </c>
      <c r="B159" s="0" t="s">
        <v>30</v>
      </c>
      <c r="C159" s="0" t="s">
        <v>165</v>
      </c>
      <c r="D159" s="0" t="s">
        <v>479</v>
      </c>
      <c r="E159" s="0" t="s">
        <v>229</v>
      </c>
      <c r="F159" s="0">
        <v>0</v>
      </c>
      <c r="G159" s="0" t="s">
        <v>106</v>
      </c>
      <c r="H159" s="0">
        <v>0</v>
      </c>
      <c r="I159" s="0">
        <v>0</v>
      </c>
      <c r="J159" s="0">
        <v>0</v>
      </c>
      <c r="K159" s="0">
        <v>0</v>
      </c>
      <c r="L159" s="0">
        <v>0</v>
      </c>
      <c r="M159" s="0">
        <v>0</v>
      </c>
      <c r="N159" s="0" t="b">
        <v>0</v>
      </c>
      <c r="O159" s="2">
        <v>44613.583333333336</v>
      </c>
      <c r="P159" s="2">
        <v>44613.625</v>
      </c>
      <c r="Q159" s="2">
        <v>44613.208333333336</v>
      </c>
      <c r="R159" s="2">
        <v>44613.25</v>
      </c>
      <c r="S159" s="0">
        <v>60</v>
      </c>
      <c r="T159" s="0">
        <v>12</v>
      </c>
      <c r="U159" s="0">
        <v>47</v>
      </c>
      <c r="V159" s="0">
        <v>693</v>
      </c>
      <c r="W159" s="1">
        <f>=HYPERLINK("10.175.1.14\MWEB.12\BT\EntityDetails.10.175.1.14.MWEB.12.-ondelay-Hea.693.xlsx", "&lt;Detail&gt;")</f>
      </c>
      <c r="X159" s="1">
        <f>=HYPERLINK("10.175.1.14\MWEB.12\BT\MetricGraphs.BT.10.175.1.14.MWEB.12.xlsx", "&lt;Metrics&gt;")</f>
      </c>
      <c r="Y159" s="1">
        <f>=HYPERLINK("10.175.1.14\MWEB.12\BT\FlameGraph.BT.10.175.1.14.MWEB.12.-ondelay-Hea.693.svg", "&lt;FlGraph&gt;")</f>
      </c>
      <c r="Z159" s="1">
        <f>=HYPERLINK("10.175.1.14\MWEB.12\BT\FlameChart.BT.10.175.1.14.MWEB.12.-ondelay-Hea.693.svg", "&lt;FlChart&gt;")</f>
      </c>
      <c r="AA159" s="0" t="s">
        <v>107</v>
      </c>
      <c r="AB159" s="0" t="s">
        <v>108</v>
      </c>
      <c r="AC159" s="0" t="s">
        <v>166</v>
      </c>
      <c r="AD159" s="0" t="s">
        <v>481</v>
      </c>
      <c r="AE159" s="0" t="s">
        <v>109</v>
      </c>
    </row>
    <row r="160">
      <c r="A160" s="0" t="s">
        <v>28</v>
      </c>
      <c r="B160" s="0" t="s">
        <v>30</v>
      </c>
      <c r="C160" s="0" t="s">
        <v>133</v>
      </c>
      <c r="D160" s="0" t="s">
        <v>482</v>
      </c>
      <c r="E160" s="0" t="s">
        <v>229</v>
      </c>
      <c r="F160" s="0">
        <v>0</v>
      </c>
      <c r="G160" s="0" t="s">
        <v>106</v>
      </c>
      <c r="H160" s="0">
        <v>0</v>
      </c>
      <c r="I160" s="0">
        <v>0</v>
      </c>
      <c r="J160" s="0">
        <v>0</v>
      </c>
      <c r="K160" s="0">
        <v>0</v>
      </c>
      <c r="L160" s="0">
        <v>0</v>
      </c>
      <c r="M160" s="0">
        <v>0</v>
      </c>
      <c r="N160" s="0" t="b">
        <v>0</v>
      </c>
      <c r="O160" s="2">
        <v>44613.583333333336</v>
      </c>
      <c r="P160" s="2">
        <v>44613.625</v>
      </c>
      <c r="Q160" s="2">
        <v>44613.208333333336</v>
      </c>
      <c r="R160" s="2">
        <v>44613.25</v>
      </c>
      <c r="S160" s="0">
        <v>60</v>
      </c>
      <c r="T160" s="0">
        <v>12</v>
      </c>
      <c r="U160" s="0">
        <v>36</v>
      </c>
      <c r="V160" s="0">
        <v>149</v>
      </c>
      <c r="W160" s="1">
        <f>=HYPERLINK("10.175.1.14\MWEB.12\BT\EntityDetails.10.175.1.14.MWEB.12.-ondelay-odc.149.xlsx", "&lt;Detail&gt;")</f>
      </c>
      <c r="X160" s="1">
        <f>=HYPERLINK("10.175.1.14\MWEB.12\BT\MetricGraphs.BT.10.175.1.14.MWEB.12.xlsx", "&lt;Metrics&gt;")</f>
      </c>
      <c r="Y160" s="1">
        <f>=HYPERLINK("10.175.1.14\MWEB.12\BT\FlameGraph.BT.10.175.1.14.MWEB.12.-ondelay-odc.149.svg", "&lt;FlGraph&gt;")</f>
      </c>
      <c r="Z160" s="1">
        <f>=HYPERLINK("10.175.1.14\MWEB.12\BT\FlameChart.BT.10.175.1.14.MWEB.12.-ondelay-odc.149.svg", "&lt;FlChart&gt;")</f>
      </c>
      <c r="AA160" s="0" t="s">
        <v>107</v>
      </c>
      <c r="AB160" s="0" t="s">
        <v>108</v>
      </c>
      <c r="AC160" s="0" t="s">
        <v>134</v>
      </c>
      <c r="AD160" s="0" t="s">
        <v>483</v>
      </c>
      <c r="AE160" s="0" t="s">
        <v>109</v>
      </c>
    </row>
    <row r="161">
      <c r="A161" s="0" t="s">
        <v>28</v>
      </c>
      <c r="B161" s="0" t="s">
        <v>30</v>
      </c>
      <c r="C161" s="0" t="s">
        <v>145</v>
      </c>
      <c r="D161" s="0" t="s">
        <v>482</v>
      </c>
      <c r="E161" s="0" t="s">
        <v>229</v>
      </c>
      <c r="F161" s="0">
        <v>0</v>
      </c>
      <c r="G161" s="0" t="s">
        <v>106</v>
      </c>
      <c r="H161" s="0">
        <v>0</v>
      </c>
      <c r="I161" s="0">
        <v>0</v>
      </c>
      <c r="J161" s="0">
        <v>0</v>
      </c>
      <c r="K161" s="0">
        <v>0</v>
      </c>
      <c r="L161" s="0">
        <v>0</v>
      </c>
      <c r="M161" s="0">
        <v>0</v>
      </c>
      <c r="N161" s="0" t="b">
        <v>0</v>
      </c>
      <c r="O161" s="2">
        <v>44613.583333333336</v>
      </c>
      <c r="P161" s="2">
        <v>44613.625</v>
      </c>
      <c r="Q161" s="2">
        <v>44613.208333333336</v>
      </c>
      <c r="R161" s="2">
        <v>44613.25</v>
      </c>
      <c r="S161" s="0">
        <v>60</v>
      </c>
      <c r="T161" s="0">
        <v>12</v>
      </c>
      <c r="U161" s="0">
        <v>34</v>
      </c>
      <c r="V161" s="0">
        <v>185</v>
      </c>
      <c r="W161" s="1">
        <f>=HYPERLINK("10.175.1.14\MWEB.12\BT\EntityDetails.10.175.1.14.MWEB.12.-ondelay-odc.185.xlsx", "&lt;Detail&gt;")</f>
      </c>
      <c r="X161" s="1">
        <f>=HYPERLINK("10.175.1.14\MWEB.12\BT\MetricGraphs.BT.10.175.1.14.MWEB.12.xlsx", "&lt;Metrics&gt;")</f>
      </c>
      <c r="Y161" s="1">
        <f>=HYPERLINK("10.175.1.14\MWEB.12\BT\FlameGraph.BT.10.175.1.14.MWEB.12.-ondelay-odc.185.svg", "&lt;FlGraph&gt;")</f>
      </c>
      <c r="Z161" s="1">
        <f>=HYPERLINK("10.175.1.14\MWEB.12\BT\FlameChart.BT.10.175.1.14.MWEB.12.-ondelay-odc.185.svg", "&lt;FlChart&gt;")</f>
      </c>
      <c r="AA161" s="0" t="s">
        <v>107</v>
      </c>
      <c r="AB161" s="0" t="s">
        <v>108</v>
      </c>
      <c r="AC161" s="0" t="s">
        <v>146</v>
      </c>
      <c r="AD161" s="0" t="s">
        <v>484</v>
      </c>
      <c r="AE161" s="0" t="s">
        <v>109</v>
      </c>
    </row>
    <row r="162">
      <c r="A162" s="0" t="s">
        <v>28</v>
      </c>
      <c r="B162" s="0" t="s">
        <v>30</v>
      </c>
      <c r="C162" s="0" t="s">
        <v>165</v>
      </c>
      <c r="D162" s="0" t="s">
        <v>482</v>
      </c>
      <c r="E162" s="0" t="s">
        <v>229</v>
      </c>
      <c r="F162" s="0">
        <v>0</v>
      </c>
      <c r="G162" s="0" t="s">
        <v>106</v>
      </c>
      <c r="H162" s="0">
        <v>0</v>
      </c>
      <c r="I162" s="0">
        <v>0</v>
      </c>
      <c r="J162" s="0">
        <v>0</v>
      </c>
      <c r="K162" s="0">
        <v>0</v>
      </c>
      <c r="L162" s="0">
        <v>0</v>
      </c>
      <c r="M162" s="0">
        <v>0</v>
      </c>
      <c r="N162" s="0" t="b">
        <v>0</v>
      </c>
      <c r="O162" s="2">
        <v>44613.583333333336</v>
      </c>
      <c r="P162" s="2">
        <v>44613.625</v>
      </c>
      <c r="Q162" s="2">
        <v>44613.208333333336</v>
      </c>
      <c r="R162" s="2">
        <v>44613.25</v>
      </c>
      <c r="S162" s="0">
        <v>60</v>
      </c>
      <c r="T162" s="0">
        <v>12</v>
      </c>
      <c r="U162" s="0">
        <v>47</v>
      </c>
      <c r="V162" s="0">
        <v>714</v>
      </c>
      <c r="W162" s="1">
        <f>=HYPERLINK("10.175.1.14\MWEB.12\BT\EntityDetails.10.175.1.14.MWEB.12.-ondelay-odc.714.xlsx", "&lt;Detail&gt;")</f>
      </c>
      <c r="X162" s="1">
        <f>=HYPERLINK("10.175.1.14\MWEB.12\BT\MetricGraphs.BT.10.175.1.14.MWEB.12.xlsx", "&lt;Metrics&gt;")</f>
      </c>
      <c r="Y162" s="1">
        <f>=HYPERLINK("10.175.1.14\MWEB.12\BT\FlameGraph.BT.10.175.1.14.MWEB.12.-ondelay-odc.714.svg", "&lt;FlGraph&gt;")</f>
      </c>
      <c r="Z162" s="1">
        <f>=HYPERLINK("10.175.1.14\MWEB.12\BT\FlameChart.BT.10.175.1.14.MWEB.12.-ondelay-odc.714.svg", "&lt;FlChart&gt;")</f>
      </c>
      <c r="AA162" s="0" t="s">
        <v>107</v>
      </c>
      <c r="AB162" s="0" t="s">
        <v>108</v>
      </c>
      <c r="AC162" s="0" t="s">
        <v>166</v>
      </c>
      <c r="AD162" s="0" t="s">
        <v>485</v>
      </c>
      <c r="AE162" s="0" t="s">
        <v>109</v>
      </c>
    </row>
    <row r="163">
      <c r="A163" s="0" t="s">
        <v>28</v>
      </c>
      <c r="B163" s="0" t="s">
        <v>30</v>
      </c>
      <c r="C163" s="0" t="s">
        <v>127</v>
      </c>
      <c r="D163" s="0" t="s">
        <v>486</v>
      </c>
      <c r="E163" s="0" t="s">
        <v>229</v>
      </c>
      <c r="F163" s="0">
        <v>0</v>
      </c>
      <c r="G163" s="0" t="s">
        <v>106</v>
      </c>
      <c r="H163" s="0">
        <v>0</v>
      </c>
      <c r="I163" s="0">
        <v>0</v>
      </c>
      <c r="J163" s="0">
        <v>0</v>
      </c>
      <c r="K163" s="0">
        <v>0</v>
      </c>
      <c r="L163" s="0">
        <v>0</v>
      </c>
      <c r="M163" s="0">
        <v>0</v>
      </c>
      <c r="N163" s="0" t="b">
        <v>0</v>
      </c>
      <c r="O163" s="2">
        <v>44613.583333333336</v>
      </c>
      <c r="P163" s="2">
        <v>44613.625</v>
      </c>
      <c r="Q163" s="2">
        <v>44613.208333333336</v>
      </c>
      <c r="R163" s="2">
        <v>44613.25</v>
      </c>
      <c r="S163" s="0">
        <v>60</v>
      </c>
      <c r="T163" s="0">
        <v>12</v>
      </c>
      <c r="U163" s="0">
        <v>39</v>
      </c>
      <c r="V163" s="0">
        <v>124</v>
      </c>
      <c r="W163" s="1">
        <f>=HYPERLINK("10.175.1.14\MWEB.12\BT\EntityDetails.10.175.1.14.MWEB.12.-online-addr.124.xlsx", "&lt;Detail&gt;")</f>
      </c>
      <c r="X163" s="1">
        <f>=HYPERLINK("10.175.1.14\MWEB.12\BT\MetricGraphs.BT.10.175.1.14.MWEB.12.xlsx", "&lt;Metrics&gt;")</f>
      </c>
      <c r="Y163" s="1">
        <f>=HYPERLINK("10.175.1.14\MWEB.12\BT\FlameGraph.BT.10.175.1.14.MWEB.12.-online-addr.124.svg", "&lt;FlGraph&gt;")</f>
      </c>
      <c r="Z163" s="1">
        <f>=HYPERLINK("10.175.1.14\MWEB.12\BT\FlameChart.BT.10.175.1.14.MWEB.12.-online-addr.124.svg", "&lt;FlChart&gt;")</f>
      </c>
      <c r="AA163" s="0" t="s">
        <v>107</v>
      </c>
      <c r="AB163" s="0" t="s">
        <v>108</v>
      </c>
      <c r="AC163" s="0" t="s">
        <v>128</v>
      </c>
      <c r="AD163" s="0" t="s">
        <v>487</v>
      </c>
      <c r="AE163" s="0" t="s">
        <v>109</v>
      </c>
    </row>
    <row r="164">
      <c r="A164" s="0" t="s">
        <v>28</v>
      </c>
      <c r="B164" s="0" t="s">
        <v>30</v>
      </c>
      <c r="C164" s="0" t="s">
        <v>127</v>
      </c>
      <c r="D164" s="0" t="s">
        <v>488</v>
      </c>
      <c r="E164" s="0" t="s">
        <v>229</v>
      </c>
      <c r="F164" s="0">
        <v>0</v>
      </c>
      <c r="G164" s="0" t="s">
        <v>106</v>
      </c>
      <c r="H164" s="0">
        <v>0</v>
      </c>
      <c r="I164" s="0">
        <v>0</v>
      </c>
      <c r="J164" s="0">
        <v>0</v>
      </c>
      <c r="K164" s="0">
        <v>0</v>
      </c>
      <c r="L164" s="0">
        <v>0</v>
      </c>
      <c r="M164" s="0">
        <v>0</v>
      </c>
      <c r="N164" s="0" t="b">
        <v>0</v>
      </c>
      <c r="O164" s="2">
        <v>44613.583333333336</v>
      </c>
      <c r="P164" s="2">
        <v>44613.625</v>
      </c>
      <c r="Q164" s="2">
        <v>44613.208333333336</v>
      </c>
      <c r="R164" s="2">
        <v>44613.25</v>
      </c>
      <c r="S164" s="0">
        <v>60</v>
      </c>
      <c r="T164" s="0">
        <v>12</v>
      </c>
      <c r="U164" s="0">
        <v>39</v>
      </c>
      <c r="V164" s="0">
        <v>130</v>
      </c>
      <c r="W164" s="1">
        <f>=HYPERLINK("10.175.1.14\MWEB.12\BT\EntityDetails.10.175.1.14.MWEB.12.-online-bank.130.xlsx", "&lt;Detail&gt;")</f>
      </c>
      <c r="X164" s="1">
        <f>=HYPERLINK("10.175.1.14\MWEB.12\BT\MetricGraphs.BT.10.175.1.14.MWEB.12.xlsx", "&lt;Metrics&gt;")</f>
      </c>
      <c r="Y164" s="1">
        <f>=HYPERLINK("10.175.1.14\MWEB.12\BT\FlameGraph.BT.10.175.1.14.MWEB.12.-online-bank.130.svg", "&lt;FlGraph&gt;")</f>
      </c>
      <c r="Z164" s="1">
        <f>=HYPERLINK("10.175.1.14\MWEB.12\BT\FlameChart.BT.10.175.1.14.MWEB.12.-online-bank.130.svg", "&lt;FlChart&gt;")</f>
      </c>
      <c r="AA164" s="0" t="s">
        <v>107</v>
      </c>
      <c r="AB164" s="0" t="s">
        <v>108</v>
      </c>
      <c r="AC164" s="0" t="s">
        <v>128</v>
      </c>
      <c r="AD164" s="0" t="s">
        <v>489</v>
      </c>
      <c r="AE164" s="0" t="s">
        <v>109</v>
      </c>
    </row>
    <row r="165">
      <c r="A165" s="0" t="s">
        <v>28</v>
      </c>
      <c r="B165" s="0" t="s">
        <v>30</v>
      </c>
      <c r="C165" s="0" t="s">
        <v>127</v>
      </c>
      <c r="D165" s="0" t="s">
        <v>490</v>
      </c>
      <c r="E165" s="0" t="s">
        <v>229</v>
      </c>
      <c r="F165" s="0">
        <v>0</v>
      </c>
      <c r="G165" s="0" t="s">
        <v>106</v>
      </c>
      <c r="H165" s="0">
        <v>0</v>
      </c>
      <c r="I165" s="0">
        <v>0</v>
      </c>
      <c r="J165" s="0">
        <v>0</v>
      </c>
      <c r="K165" s="0">
        <v>0</v>
      </c>
      <c r="L165" s="0">
        <v>0</v>
      </c>
      <c r="M165" s="0">
        <v>0</v>
      </c>
      <c r="N165" s="0" t="b">
        <v>0</v>
      </c>
      <c r="O165" s="2">
        <v>44613.583333333336</v>
      </c>
      <c r="P165" s="2">
        <v>44613.625</v>
      </c>
      <c r="Q165" s="2">
        <v>44613.208333333336</v>
      </c>
      <c r="R165" s="2">
        <v>44613.25</v>
      </c>
      <c r="S165" s="0">
        <v>60</v>
      </c>
      <c r="T165" s="0">
        <v>12</v>
      </c>
      <c r="U165" s="0">
        <v>39</v>
      </c>
      <c r="V165" s="0">
        <v>131</v>
      </c>
      <c r="W165" s="1">
        <f>=HYPERLINK("10.175.1.14\MWEB.12\BT\EntityDetails.10.175.1.14.MWEB.12.-online-bank.131.xlsx", "&lt;Detail&gt;")</f>
      </c>
      <c r="X165" s="1">
        <f>=HYPERLINK("10.175.1.14\MWEB.12\BT\MetricGraphs.BT.10.175.1.14.MWEB.12.xlsx", "&lt;Metrics&gt;")</f>
      </c>
      <c r="Y165" s="1">
        <f>=HYPERLINK("10.175.1.14\MWEB.12\BT\FlameGraph.BT.10.175.1.14.MWEB.12.-online-bank.131.svg", "&lt;FlGraph&gt;")</f>
      </c>
      <c r="Z165" s="1">
        <f>=HYPERLINK("10.175.1.14\MWEB.12\BT\FlameChart.BT.10.175.1.14.MWEB.12.-online-bank.131.svg", "&lt;FlChart&gt;")</f>
      </c>
      <c r="AA165" s="0" t="s">
        <v>107</v>
      </c>
      <c r="AB165" s="0" t="s">
        <v>108</v>
      </c>
      <c r="AC165" s="0" t="s">
        <v>128</v>
      </c>
      <c r="AD165" s="0" t="s">
        <v>491</v>
      </c>
      <c r="AE165" s="0" t="s">
        <v>109</v>
      </c>
    </row>
    <row r="166">
      <c r="A166" s="0" t="s">
        <v>28</v>
      </c>
      <c r="B166" s="0" t="s">
        <v>30</v>
      </c>
      <c r="C166" s="0" t="s">
        <v>127</v>
      </c>
      <c r="D166" s="0" t="s">
        <v>492</v>
      </c>
      <c r="E166" s="0" t="s">
        <v>229</v>
      </c>
      <c r="F166" s="0">
        <v>0</v>
      </c>
      <c r="G166" s="0" t="s">
        <v>106</v>
      </c>
      <c r="H166" s="0">
        <v>0</v>
      </c>
      <c r="I166" s="0">
        <v>0</v>
      </c>
      <c r="J166" s="0">
        <v>0</v>
      </c>
      <c r="K166" s="0">
        <v>0</v>
      </c>
      <c r="L166" s="0">
        <v>0</v>
      </c>
      <c r="M166" s="0">
        <v>0</v>
      </c>
      <c r="N166" s="0" t="b">
        <v>0</v>
      </c>
      <c r="O166" s="2">
        <v>44613.583333333336</v>
      </c>
      <c r="P166" s="2">
        <v>44613.625</v>
      </c>
      <c r="Q166" s="2">
        <v>44613.208333333336</v>
      </c>
      <c r="R166" s="2">
        <v>44613.25</v>
      </c>
      <c r="S166" s="0">
        <v>60</v>
      </c>
      <c r="T166" s="0">
        <v>12</v>
      </c>
      <c r="U166" s="0">
        <v>39</v>
      </c>
      <c r="V166" s="0">
        <v>138</v>
      </c>
      <c r="W166" s="1">
        <f>=HYPERLINK("10.175.1.14\MWEB.12\BT\EntityDetails.10.175.1.14.MWEB.12.-online-bank.138.xlsx", "&lt;Detail&gt;")</f>
      </c>
      <c r="X166" s="1">
        <f>=HYPERLINK("10.175.1.14\MWEB.12\BT\MetricGraphs.BT.10.175.1.14.MWEB.12.xlsx", "&lt;Metrics&gt;")</f>
      </c>
      <c r="Y166" s="1">
        <f>=HYPERLINK("10.175.1.14\MWEB.12\BT\FlameGraph.BT.10.175.1.14.MWEB.12.-online-bank.138.svg", "&lt;FlGraph&gt;")</f>
      </c>
      <c r="Z166" s="1">
        <f>=HYPERLINK("10.175.1.14\MWEB.12\BT\FlameChart.BT.10.175.1.14.MWEB.12.-online-bank.138.svg", "&lt;FlChart&gt;")</f>
      </c>
      <c r="AA166" s="0" t="s">
        <v>107</v>
      </c>
      <c r="AB166" s="0" t="s">
        <v>108</v>
      </c>
      <c r="AC166" s="0" t="s">
        <v>128</v>
      </c>
      <c r="AD166" s="0" t="s">
        <v>493</v>
      </c>
      <c r="AE166" s="0" t="s">
        <v>109</v>
      </c>
    </row>
    <row r="167">
      <c r="A167" s="0" t="s">
        <v>28</v>
      </c>
      <c r="B167" s="0" t="s">
        <v>30</v>
      </c>
      <c r="C167" s="0" t="s">
        <v>127</v>
      </c>
      <c r="D167" s="0" t="s">
        <v>494</v>
      </c>
      <c r="E167" s="0" t="s">
        <v>229</v>
      </c>
      <c r="F167" s="0">
        <v>0</v>
      </c>
      <c r="G167" s="0" t="s">
        <v>106</v>
      </c>
      <c r="H167" s="0">
        <v>0</v>
      </c>
      <c r="I167" s="0">
        <v>0</v>
      </c>
      <c r="J167" s="0">
        <v>0</v>
      </c>
      <c r="K167" s="0">
        <v>0</v>
      </c>
      <c r="L167" s="0">
        <v>0</v>
      </c>
      <c r="M167" s="0">
        <v>0</v>
      </c>
      <c r="N167" s="0" t="b">
        <v>0</v>
      </c>
      <c r="O167" s="2">
        <v>44613.583333333336</v>
      </c>
      <c r="P167" s="2">
        <v>44613.625</v>
      </c>
      <c r="Q167" s="2">
        <v>44613.208333333336</v>
      </c>
      <c r="R167" s="2">
        <v>44613.25</v>
      </c>
      <c r="S167" s="0">
        <v>60</v>
      </c>
      <c r="T167" s="0">
        <v>12</v>
      </c>
      <c r="U167" s="0">
        <v>39</v>
      </c>
      <c r="V167" s="0">
        <v>136</v>
      </c>
      <c r="W167" s="1">
        <f>=HYPERLINK("10.175.1.14\MWEB.12\BT\EntityDetails.10.175.1.14.MWEB.12.-online-bank.136.xlsx", "&lt;Detail&gt;")</f>
      </c>
      <c r="X167" s="1">
        <f>=HYPERLINK("10.175.1.14\MWEB.12\BT\MetricGraphs.BT.10.175.1.14.MWEB.12.xlsx", "&lt;Metrics&gt;")</f>
      </c>
      <c r="Y167" s="1">
        <f>=HYPERLINK("10.175.1.14\MWEB.12\BT\FlameGraph.BT.10.175.1.14.MWEB.12.-online-bank.136.svg", "&lt;FlGraph&gt;")</f>
      </c>
      <c r="Z167" s="1">
        <f>=HYPERLINK("10.175.1.14\MWEB.12\BT\FlameChart.BT.10.175.1.14.MWEB.12.-online-bank.136.svg", "&lt;FlChart&gt;")</f>
      </c>
      <c r="AA167" s="0" t="s">
        <v>107</v>
      </c>
      <c r="AB167" s="0" t="s">
        <v>108</v>
      </c>
      <c r="AC167" s="0" t="s">
        <v>128</v>
      </c>
      <c r="AD167" s="0" t="s">
        <v>495</v>
      </c>
      <c r="AE167" s="0" t="s">
        <v>109</v>
      </c>
    </row>
    <row r="168">
      <c r="A168" s="0" t="s">
        <v>28</v>
      </c>
      <c r="B168" s="0" t="s">
        <v>30</v>
      </c>
      <c r="C168" s="0" t="s">
        <v>127</v>
      </c>
      <c r="D168" s="0" t="s">
        <v>496</v>
      </c>
      <c r="E168" s="0" t="s">
        <v>229</v>
      </c>
      <c r="F168" s="0">
        <v>0</v>
      </c>
      <c r="G168" s="0" t="s">
        <v>106</v>
      </c>
      <c r="H168" s="0">
        <v>0</v>
      </c>
      <c r="I168" s="0">
        <v>0</v>
      </c>
      <c r="J168" s="0">
        <v>0</v>
      </c>
      <c r="K168" s="0">
        <v>0</v>
      </c>
      <c r="L168" s="0">
        <v>0</v>
      </c>
      <c r="M168" s="0">
        <v>0</v>
      </c>
      <c r="N168" s="0" t="b">
        <v>0</v>
      </c>
      <c r="O168" s="2">
        <v>44613.583333333336</v>
      </c>
      <c r="P168" s="2">
        <v>44613.625</v>
      </c>
      <c r="Q168" s="2">
        <v>44613.208333333336</v>
      </c>
      <c r="R168" s="2">
        <v>44613.25</v>
      </c>
      <c r="S168" s="0">
        <v>60</v>
      </c>
      <c r="T168" s="0">
        <v>12</v>
      </c>
      <c r="U168" s="0">
        <v>39</v>
      </c>
      <c r="V168" s="0">
        <v>129</v>
      </c>
      <c r="W168" s="1">
        <f>=HYPERLINK("10.175.1.14\MWEB.12\BT\EntityDetails.10.175.1.14.MWEB.12.-online-bran.129.xlsx", "&lt;Detail&gt;")</f>
      </c>
      <c r="X168" s="1">
        <f>=HYPERLINK("10.175.1.14\MWEB.12\BT\MetricGraphs.BT.10.175.1.14.MWEB.12.xlsx", "&lt;Metrics&gt;")</f>
      </c>
      <c r="Y168" s="1">
        <f>=HYPERLINK("10.175.1.14\MWEB.12\BT\FlameGraph.BT.10.175.1.14.MWEB.12.-online-bran.129.svg", "&lt;FlGraph&gt;")</f>
      </c>
      <c r="Z168" s="1">
        <f>=HYPERLINK("10.175.1.14\MWEB.12\BT\FlameChart.BT.10.175.1.14.MWEB.12.-online-bran.129.svg", "&lt;FlChart&gt;")</f>
      </c>
      <c r="AA168" s="0" t="s">
        <v>107</v>
      </c>
      <c r="AB168" s="0" t="s">
        <v>108</v>
      </c>
      <c r="AC168" s="0" t="s">
        <v>128</v>
      </c>
      <c r="AD168" s="0" t="s">
        <v>497</v>
      </c>
      <c r="AE168" s="0" t="s">
        <v>109</v>
      </c>
    </row>
    <row r="169">
      <c r="A169" s="0" t="s">
        <v>28</v>
      </c>
      <c r="B169" s="0" t="s">
        <v>30</v>
      </c>
      <c r="C169" s="0" t="s">
        <v>127</v>
      </c>
      <c r="D169" s="0" t="s">
        <v>498</v>
      </c>
      <c r="E169" s="0" t="s">
        <v>229</v>
      </c>
      <c r="F169" s="0">
        <v>0</v>
      </c>
      <c r="G169" s="0" t="s">
        <v>106</v>
      </c>
      <c r="H169" s="0">
        <v>0</v>
      </c>
      <c r="I169" s="0">
        <v>0</v>
      </c>
      <c r="J169" s="0">
        <v>0</v>
      </c>
      <c r="K169" s="0">
        <v>0</v>
      </c>
      <c r="L169" s="0">
        <v>0</v>
      </c>
      <c r="M169" s="0">
        <v>0</v>
      </c>
      <c r="N169" s="0" t="b">
        <v>0</v>
      </c>
      <c r="O169" s="2">
        <v>44613.583333333336</v>
      </c>
      <c r="P169" s="2">
        <v>44613.625</v>
      </c>
      <c r="Q169" s="2">
        <v>44613.208333333336</v>
      </c>
      <c r="R169" s="2">
        <v>44613.25</v>
      </c>
      <c r="S169" s="0">
        <v>60</v>
      </c>
      <c r="T169" s="0">
        <v>12</v>
      </c>
      <c r="U169" s="0">
        <v>39</v>
      </c>
      <c r="V169" s="0">
        <v>116</v>
      </c>
      <c r="W169" s="1">
        <f>=HYPERLINK("10.175.1.14\MWEB.12\BT\EntityDetails.10.175.1.14.MWEB.12.-online-entr.116.xlsx", "&lt;Detail&gt;")</f>
      </c>
      <c r="X169" s="1">
        <f>=HYPERLINK("10.175.1.14\MWEB.12\BT\MetricGraphs.BT.10.175.1.14.MWEB.12.xlsx", "&lt;Metrics&gt;")</f>
      </c>
      <c r="Y169" s="1">
        <f>=HYPERLINK("10.175.1.14\MWEB.12\BT\FlameGraph.BT.10.175.1.14.MWEB.12.-online-entr.116.svg", "&lt;FlGraph&gt;")</f>
      </c>
      <c r="Z169" s="1">
        <f>=HYPERLINK("10.175.1.14\MWEB.12\BT\FlameChart.BT.10.175.1.14.MWEB.12.-online-entr.116.svg", "&lt;FlChart&gt;")</f>
      </c>
      <c r="AA169" s="0" t="s">
        <v>107</v>
      </c>
      <c r="AB169" s="0" t="s">
        <v>108</v>
      </c>
      <c r="AC169" s="0" t="s">
        <v>128</v>
      </c>
      <c r="AD169" s="0" t="s">
        <v>499</v>
      </c>
      <c r="AE169" s="0" t="s">
        <v>109</v>
      </c>
    </row>
    <row r="170">
      <c r="A170" s="0" t="s">
        <v>28</v>
      </c>
      <c r="B170" s="0" t="s">
        <v>30</v>
      </c>
      <c r="C170" s="0" t="s">
        <v>127</v>
      </c>
      <c r="D170" s="0" t="s">
        <v>500</v>
      </c>
      <c r="E170" s="0" t="s">
        <v>229</v>
      </c>
      <c r="F170" s="0">
        <v>0</v>
      </c>
      <c r="G170" s="0" t="s">
        <v>106</v>
      </c>
      <c r="H170" s="0">
        <v>0</v>
      </c>
      <c r="I170" s="0">
        <v>0</v>
      </c>
      <c r="J170" s="0">
        <v>0</v>
      </c>
      <c r="K170" s="0">
        <v>0</v>
      </c>
      <c r="L170" s="0">
        <v>0</v>
      </c>
      <c r="M170" s="0">
        <v>0</v>
      </c>
      <c r="N170" s="0" t="b">
        <v>0</v>
      </c>
      <c r="O170" s="2">
        <v>44613.583333333336</v>
      </c>
      <c r="P170" s="2">
        <v>44613.625</v>
      </c>
      <c r="Q170" s="2">
        <v>44613.208333333336</v>
      </c>
      <c r="R170" s="2">
        <v>44613.25</v>
      </c>
      <c r="S170" s="0">
        <v>60</v>
      </c>
      <c r="T170" s="0">
        <v>12</v>
      </c>
      <c r="U170" s="0">
        <v>39</v>
      </c>
      <c r="V170" s="0">
        <v>123</v>
      </c>
      <c r="W170" s="1">
        <f>=HYPERLINK("10.175.1.14\MWEB.12\BT\EntityDetails.10.175.1.14.MWEB.12.-online-erro.123.xlsx", "&lt;Detail&gt;")</f>
      </c>
      <c r="X170" s="1">
        <f>=HYPERLINK("10.175.1.14\MWEB.12\BT\MetricGraphs.BT.10.175.1.14.MWEB.12.xlsx", "&lt;Metrics&gt;")</f>
      </c>
      <c r="Y170" s="1">
        <f>=HYPERLINK("10.175.1.14\MWEB.12\BT\FlameGraph.BT.10.175.1.14.MWEB.12.-online-erro.123.svg", "&lt;FlGraph&gt;")</f>
      </c>
      <c r="Z170" s="1">
        <f>=HYPERLINK("10.175.1.14\MWEB.12\BT\FlameChart.BT.10.175.1.14.MWEB.12.-online-erro.123.svg", "&lt;FlChart&gt;")</f>
      </c>
      <c r="AA170" s="0" t="s">
        <v>107</v>
      </c>
      <c r="AB170" s="0" t="s">
        <v>108</v>
      </c>
      <c r="AC170" s="0" t="s">
        <v>128</v>
      </c>
      <c r="AD170" s="0" t="s">
        <v>501</v>
      </c>
      <c r="AE170" s="0" t="s">
        <v>109</v>
      </c>
    </row>
    <row r="171">
      <c r="A171" s="0" t="s">
        <v>28</v>
      </c>
      <c r="B171" s="0" t="s">
        <v>30</v>
      </c>
      <c r="C171" s="0" t="s">
        <v>127</v>
      </c>
      <c r="D171" s="0" t="s">
        <v>502</v>
      </c>
      <c r="E171" s="0" t="s">
        <v>229</v>
      </c>
      <c r="F171" s="0">
        <v>0</v>
      </c>
      <c r="G171" s="0" t="s">
        <v>106</v>
      </c>
      <c r="H171" s="0">
        <v>0</v>
      </c>
      <c r="I171" s="0">
        <v>0</v>
      </c>
      <c r="J171" s="0">
        <v>0</v>
      </c>
      <c r="K171" s="0">
        <v>0</v>
      </c>
      <c r="L171" s="0">
        <v>0</v>
      </c>
      <c r="M171" s="0">
        <v>0</v>
      </c>
      <c r="N171" s="0" t="b">
        <v>0</v>
      </c>
      <c r="O171" s="2">
        <v>44613.583333333336</v>
      </c>
      <c r="P171" s="2">
        <v>44613.625</v>
      </c>
      <c r="Q171" s="2">
        <v>44613.208333333336</v>
      </c>
      <c r="R171" s="2">
        <v>44613.25</v>
      </c>
      <c r="S171" s="0">
        <v>60</v>
      </c>
      <c r="T171" s="0">
        <v>12</v>
      </c>
      <c r="U171" s="0">
        <v>39</v>
      </c>
      <c r="V171" s="0">
        <v>97</v>
      </c>
      <c r="W171" s="1">
        <f>=HYPERLINK("10.175.1.14\MWEB.12\BT\EntityDetails.10.175.1.14.MWEB.12.-online-inqu.97.xlsx", "&lt;Detail&gt;")</f>
      </c>
      <c r="X171" s="1">
        <f>=HYPERLINK("10.175.1.14\MWEB.12\BT\MetricGraphs.BT.10.175.1.14.MWEB.12.xlsx", "&lt;Metrics&gt;")</f>
      </c>
      <c r="Y171" s="1">
        <f>=HYPERLINK("10.175.1.14\MWEB.12\BT\FlameGraph.BT.10.175.1.14.MWEB.12.-online-inqu.97.svg", "&lt;FlGraph&gt;")</f>
      </c>
      <c r="Z171" s="1">
        <f>=HYPERLINK("10.175.1.14\MWEB.12\BT\FlameChart.BT.10.175.1.14.MWEB.12.-online-inqu.97.svg", "&lt;FlChart&gt;")</f>
      </c>
      <c r="AA171" s="0" t="s">
        <v>107</v>
      </c>
      <c r="AB171" s="0" t="s">
        <v>108</v>
      </c>
      <c r="AC171" s="0" t="s">
        <v>128</v>
      </c>
      <c r="AD171" s="0" t="s">
        <v>503</v>
      </c>
      <c r="AE171" s="0" t="s">
        <v>109</v>
      </c>
    </row>
    <row r="172">
      <c r="A172" s="0" t="s">
        <v>28</v>
      </c>
      <c r="B172" s="0" t="s">
        <v>30</v>
      </c>
      <c r="C172" s="0" t="s">
        <v>127</v>
      </c>
      <c r="D172" s="0" t="s">
        <v>504</v>
      </c>
      <c r="E172" s="0" t="s">
        <v>229</v>
      </c>
      <c r="F172" s="0">
        <v>0</v>
      </c>
      <c r="G172" s="0" t="s">
        <v>106</v>
      </c>
      <c r="H172" s="0">
        <v>0</v>
      </c>
      <c r="I172" s="0">
        <v>0</v>
      </c>
      <c r="J172" s="0">
        <v>0</v>
      </c>
      <c r="K172" s="0">
        <v>0</v>
      </c>
      <c r="L172" s="0">
        <v>0</v>
      </c>
      <c r="M172" s="0">
        <v>0</v>
      </c>
      <c r="N172" s="0" t="b">
        <v>0</v>
      </c>
      <c r="O172" s="2">
        <v>44613.583333333336</v>
      </c>
      <c r="P172" s="2">
        <v>44613.625</v>
      </c>
      <c r="Q172" s="2">
        <v>44613.208333333336</v>
      </c>
      <c r="R172" s="2">
        <v>44613.25</v>
      </c>
      <c r="S172" s="0">
        <v>60</v>
      </c>
      <c r="T172" s="0">
        <v>12</v>
      </c>
      <c r="U172" s="0">
        <v>39</v>
      </c>
      <c r="V172" s="0">
        <v>182</v>
      </c>
      <c r="W172" s="1">
        <f>=HYPERLINK("10.175.1.14\MWEB.12\BT\EntityDetails.10.175.1.14.MWEB.12.-online-test.182.xlsx", "&lt;Detail&gt;")</f>
      </c>
      <c r="X172" s="1">
        <f>=HYPERLINK("10.175.1.14\MWEB.12\BT\MetricGraphs.BT.10.175.1.14.MWEB.12.xlsx", "&lt;Metrics&gt;")</f>
      </c>
      <c r="Y172" s="1">
        <f>=HYPERLINK("10.175.1.14\MWEB.12\BT\FlameGraph.BT.10.175.1.14.MWEB.12.-online-test.182.svg", "&lt;FlGraph&gt;")</f>
      </c>
      <c r="Z172" s="1">
        <f>=HYPERLINK("10.175.1.14\MWEB.12\BT\FlameChart.BT.10.175.1.14.MWEB.12.-online-test.182.svg", "&lt;FlChart&gt;")</f>
      </c>
      <c r="AA172" s="0" t="s">
        <v>107</v>
      </c>
      <c r="AB172" s="0" t="s">
        <v>108</v>
      </c>
      <c r="AC172" s="0" t="s">
        <v>128</v>
      </c>
      <c r="AD172" s="0" t="s">
        <v>505</v>
      </c>
      <c r="AE172" s="0" t="s">
        <v>109</v>
      </c>
    </row>
    <row r="173">
      <c r="A173" s="0" t="s">
        <v>28</v>
      </c>
      <c r="B173" s="0" t="s">
        <v>30</v>
      </c>
      <c r="C173" s="0" t="s">
        <v>133</v>
      </c>
      <c r="D173" s="0" t="s">
        <v>506</v>
      </c>
      <c r="E173" s="0" t="s">
        <v>229</v>
      </c>
      <c r="F173" s="0">
        <v>0</v>
      </c>
      <c r="G173" s="0" t="s">
        <v>106</v>
      </c>
      <c r="H173" s="0">
        <v>0</v>
      </c>
      <c r="I173" s="0">
        <v>0</v>
      </c>
      <c r="J173" s="0">
        <v>0</v>
      </c>
      <c r="K173" s="0">
        <v>0</v>
      </c>
      <c r="L173" s="0">
        <v>0</v>
      </c>
      <c r="M173" s="0">
        <v>0</v>
      </c>
      <c r="N173" s="0" t="b">
        <v>0</v>
      </c>
      <c r="O173" s="2">
        <v>44613.583333333336</v>
      </c>
      <c r="P173" s="2">
        <v>44613.625</v>
      </c>
      <c r="Q173" s="2">
        <v>44613.208333333336</v>
      </c>
      <c r="R173" s="2">
        <v>44613.25</v>
      </c>
      <c r="S173" s="0">
        <v>60</v>
      </c>
      <c r="T173" s="0">
        <v>12</v>
      </c>
      <c r="U173" s="0">
        <v>36</v>
      </c>
      <c r="V173" s="0">
        <v>391</v>
      </c>
      <c r="W173" s="1">
        <f>=HYPERLINK("10.175.1.14\MWEB.12\BT\EntityDetails.10.175.1.14.MWEB.12.-remote-arti.391.xlsx", "&lt;Detail&gt;")</f>
      </c>
      <c r="X173" s="1">
        <f>=HYPERLINK("10.175.1.14\MWEB.12\BT\MetricGraphs.BT.10.175.1.14.MWEB.12.xlsx", "&lt;Metrics&gt;")</f>
      </c>
      <c r="Y173" s="1">
        <f>=HYPERLINK("10.175.1.14\MWEB.12\BT\FlameGraph.BT.10.175.1.14.MWEB.12.-remote-arti.391.svg", "&lt;FlGraph&gt;")</f>
      </c>
      <c r="Z173" s="1">
        <f>=HYPERLINK("10.175.1.14\MWEB.12\BT\FlameChart.BT.10.175.1.14.MWEB.12.-remote-arti.391.svg", "&lt;FlChart&gt;")</f>
      </c>
      <c r="AA173" s="0" t="s">
        <v>107</v>
      </c>
      <c r="AB173" s="0" t="s">
        <v>108</v>
      </c>
      <c r="AC173" s="0" t="s">
        <v>134</v>
      </c>
      <c r="AD173" s="0" t="s">
        <v>507</v>
      </c>
      <c r="AE173" s="0" t="s">
        <v>109</v>
      </c>
    </row>
    <row r="174">
      <c r="A174" s="0" t="s">
        <v>28</v>
      </c>
      <c r="B174" s="0" t="s">
        <v>30</v>
      </c>
      <c r="C174" s="0" t="s">
        <v>133</v>
      </c>
      <c r="D174" s="0" t="s">
        <v>508</v>
      </c>
      <c r="E174" s="0" t="s">
        <v>229</v>
      </c>
      <c r="F174" s="0">
        <v>0</v>
      </c>
      <c r="G174" s="0" t="s">
        <v>106</v>
      </c>
      <c r="H174" s="0">
        <v>0</v>
      </c>
      <c r="I174" s="0">
        <v>0</v>
      </c>
      <c r="J174" s="0">
        <v>0</v>
      </c>
      <c r="K174" s="0">
        <v>0</v>
      </c>
      <c r="L174" s="0">
        <v>0</v>
      </c>
      <c r="M174" s="0">
        <v>0</v>
      </c>
      <c r="N174" s="0" t="b">
        <v>0</v>
      </c>
      <c r="O174" s="2">
        <v>44613.583333333336</v>
      </c>
      <c r="P174" s="2">
        <v>44613.625</v>
      </c>
      <c r="Q174" s="2">
        <v>44613.208333333336</v>
      </c>
      <c r="R174" s="2">
        <v>44613.25</v>
      </c>
      <c r="S174" s="0">
        <v>60</v>
      </c>
      <c r="T174" s="0">
        <v>12</v>
      </c>
      <c r="U174" s="0">
        <v>36</v>
      </c>
      <c r="V174" s="0">
        <v>387</v>
      </c>
      <c r="W174" s="1">
        <f>=HYPERLINK("10.175.1.14\MWEB.12\BT\EntityDetails.10.175.1.14.MWEB.12.-remote-arti.387.xlsx", "&lt;Detail&gt;")</f>
      </c>
      <c r="X174" s="1">
        <f>=HYPERLINK("10.175.1.14\MWEB.12\BT\MetricGraphs.BT.10.175.1.14.MWEB.12.xlsx", "&lt;Metrics&gt;")</f>
      </c>
      <c r="Y174" s="1">
        <f>=HYPERLINK("10.175.1.14\MWEB.12\BT\FlameGraph.BT.10.175.1.14.MWEB.12.-remote-arti.387.svg", "&lt;FlGraph&gt;")</f>
      </c>
      <c r="Z174" s="1">
        <f>=HYPERLINK("10.175.1.14\MWEB.12\BT\FlameChart.BT.10.175.1.14.MWEB.12.-remote-arti.387.svg", "&lt;FlChart&gt;")</f>
      </c>
      <c r="AA174" s="0" t="s">
        <v>107</v>
      </c>
      <c r="AB174" s="0" t="s">
        <v>108</v>
      </c>
      <c r="AC174" s="0" t="s">
        <v>134</v>
      </c>
      <c r="AD174" s="0" t="s">
        <v>509</v>
      </c>
      <c r="AE174" s="0" t="s">
        <v>109</v>
      </c>
    </row>
    <row r="175">
      <c r="A175" s="0" t="s">
        <v>28</v>
      </c>
      <c r="B175" s="0" t="s">
        <v>30</v>
      </c>
      <c r="C175" s="0" t="s">
        <v>133</v>
      </c>
      <c r="D175" s="0" t="s">
        <v>510</v>
      </c>
      <c r="E175" s="0" t="s">
        <v>229</v>
      </c>
      <c r="F175" s="0">
        <v>0</v>
      </c>
      <c r="G175" s="0" t="s">
        <v>106</v>
      </c>
      <c r="H175" s="0">
        <v>0</v>
      </c>
      <c r="I175" s="0">
        <v>0</v>
      </c>
      <c r="J175" s="0">
        <v>0</v>
      </c>
      <c r="K175" s="0">
        <v>0</v>
      </c>
      <c r="L175" s="0">
        <v>0</v>
      </c>
      <c r="M175" s="0">
        <v>0</v>
      </c>
      <c r="N175" s="0" t="b">
        <v>0</v>
      </c>
      <c r="O175" s="2">
        <v>44613.583333333336</v>
      </c>
      <c r="P175" s="2">
        <v>44613.625</v>
      </c>
      <c r="Q175" s="2">
        <v>44613.208333333336</v>
      </c>
      <c r="R175" s="2">
        <v>44613.25</v>
      </c>
      <c r="S175" s="0">
        <v>60</v>
      </c>
      <c r="T175" s="0">
        <v>12</v>
      </c>
      <c r="U175" s="0">
        <v>36</v>
      </c>
      <c r="V175" s="0">
        <v>388</v>
      </c>
      <c r="W175" s="1">
        <f>=HYPERLINK("10.175.1.14\MWEB.12\BT\EntityDetails.10.175.1.14.MWEB.12.-remote-back.388.xlsx", "&lt;Detail&gt;")</f>
      </c>
      <c r="X175" s="1">
        <f>=HYPERLINK("10.175.1.14\MWEB.12\BT\MetricGraphs.BT.10.175.1.14.MWEB.12.xlsx", "&lt;Metrics&gt;")</f>
      </c>
      <c r="Y175" s="1">
        <f>=HYPERLINK("10.175.1.14\MWEB.12\BT\FlameGraph.BT.10.175.1.14.MWEB.12.-remote-back.388.svg", "&lt;FlGraph&gt;")</f>
      </c>
      <c r="Z175" s="1">
        <f>=HYPERLINK("10.175.1.14\MWEB.12\BT\FlameChart.BT.10.175.1.14.MWEB.12.-remote-back.388.svg", "&lt;FlChart&gt;")</f>
      </c>
      <c r="AA175" s="0" t="s">
        <v>107</v>
      </c>
      <c r="AB175" s="0" t="s">
        <v>108</v>
      </c>
      <c r="AC175" s="0" t="s">
        <v>134</v>
      </c>
      <c r="AD175" s="0" t="s">
        <v>511</v>
      </c>
      <c r="AE175" s="0" t="s">
        <v>109</v>
      </c>
    </row>
    <row r="176">
      <c r="A176" s="0" t="s">
        <v>28</v>
      </c>
      <c r="B176" s="0" t="s">
        <v>30</v>
      </c>
      <c r="C176" s="0" t="s">
        <v>133</v>
      </c>
      <c r="D176" s="0" t="s">
        <v>512</v>
      </c>
      <c r="E176" s="0" t="s">
        <v>229</v>
      </c>
      <c r="F176" s="0">
        <v>0</v>
      </c>
      <c r="G176" s="0" t="s">
        <v>106</v>
      </c>
      <c r="H176" s="0">
        <v>0</v>
      </c>
      <c r="I176" s="0">
        <v>0</v>
      </c>
      <c r="J176" s="0">
        <v>0</v>
      </c>
      <c r="K176" s="0">
        <v>0</v>
      </c>
      <c r="L176" s="0">
        <v>0</v>
      </c>
      <c r="M176" s="0">
        <v>0</v>
      </c>
      <c r="N176" s="0" t="b">
        <v>0</v>
      </c>
      <c r="O176" s="2">
        <v>44613.583333333336</v>
      </c>
      <c r="P176" s="2">
        <v>44613.625</v>
      </c>
      <c r="Q176" s="2">
        <v>44613.208333333336</v>
      </c>
      <c r="R176" s="2">
        <v>44613.25</v>
      </c>
      <c r="S176" s="0">
        <v>60</v>
      </c>
      <c r="T176" s="0">
        <v>12</v>
      </c>
      <c r="U176" s="0">
        <v>36</v>
      </c>
      <c r="V176" s="0">
        <v>389</v>
      </c>
      <c r="W176" s="1">
        <f>=HYPERLINK("10.175.1.14\MWEB.12\BT\EntityDetails.10.175.1.14.MWEB.12.-remote-down.389.xlsx", "&lt;Detail&gt;")</f>
      </c>
      <c r="X176" s="1">
        <f>=HYPERLINK("10.175.1.14\MWEB.12\BT\MetricGraphs.BT.10.175.1.14.MWEB.12.xlsx", "&lt;Metrics&gt;")</f>
      </c>
      <c r="Y176" s="1">
        <f>=HYPERLINK("10.175.1.14\MWEB.12\BT\FlameGraph.BT.10.175.1.14.MWEB.12.-remote-down.389.svg", "&lt;FlGraph&gt;")</f>
      </c>
      <c r="Z176" s="1">
        <f>=HYPERLINK("10.175.1.14\MWEB.12\BT\FlameChart.BT.10.175.1.14.MWEB.12.-remote-down.389.svg", "&lt;FlChart&gt;")</f>
      </c>
      <c r="AA176" s="0" t="s">
        <v>107</v>
      </c>
      <c r="AB176" s="0" t="s">
        <v>108</v>
      </c>
      <c r="AC176" s="0" t="s">
        <v>134</v>
      </c>
      <c r="AD176" s="0" t="s">
        <v>513</v>
      </c>
      <c r="AE176" s="0" t="s">
        <v>109</v>
      </c>
    </row>
    <row r="177">
      <c r="A177" s="0" t="s">
        <v>28</v>
      </c>
      <c r="B177" s="0" t="s">
        <v>30</v>
      </c>
      <c r="C177" s="0" t="s">
        <v>133</v>
      </c>
      <c r="D177" s="0" t="s">
        <v>514</v>
      </c>
      <c r="E177" s="0" t="s">
        <v>229</v>
      </c>
      <c r="F177" s="0">
        <v>0</v>
      </c>
      <c r="G177" s="0" t="s">
        <v>106</v>
      </c>
      <c r="H177" s="0">
        <v>0</v>
      </c>
      <c r="I177" s="0">
        <v>0</v>
      </c>
      <c r="J177" s="0">
        <v>0</v>
      </c>
      <c r="K177" s="0">
        <v>0</v>
      </c>
      <c r="L177" s="0">
        <v>0</v>
      </c>
      <c r="M177" s="0">
        <v>0</v>
      </c>
      <c r="N177" s="0" t="b">
        <v>0</v>
      </c>
      <c r="O177" s="2">
        <v>44613.583333333336</v>
      </c>
      <c r="P177" s="2">
        <v>44613.625</v>
      </c>
      <c r="Q177" s="2">
        <v>44613.208333333336</v>
      </c>
      <c r="R177" s="2">
        <v>44613.25</v>
      </c>
      <c r="S177" s="0">
        <v>60</v>
      </c>
      <c r="T177" s="0">
        <v>12</v>
      </c>
      <c r="U177" s="0">
        <v>36</v>
      </c>
      <c r="V177" s="0">
        <v>394</v>
      </c>
      <c r="W177" s="1">
        <f>=HYPERLINK("10.175.1.14\MWEB.12\BT\EntityDetails.10.175.1.14.MWEB.12.-remote-erro.394.xlsx", "&lt;Detail&gt;")</f>
      </c>
      <c r="X177" s="1">
        <f>=HYPERLINK("10.175.1.14\MWEB.12\BT\MetricGraphs.BT.10.175.1.14.MWEB.12.xlsx", "&lt;Metrics&gt;")</f>
      </c>
      <c r="Y177" s="1">
        <f>=HYPERLINK("10.175.1.14\MWEB.12\BT\FlameGraph.BT.10.175.1.14.MWEB.12.-remote-erro.394.svg", "&lt;FlGraph&gt;")</f>
      </c>
      <c r="Z177" s="1">
        <f>=HYPERLINK("10.175.1.14\MWEB.12\BT\FlameChart.BT.10.175.1.14.MWEB.12.-remote-erro.394.svg", "&lt;FlChart&gt;")</f>
      </c>
      <c r="AA177" s="0" t="s">
        <v>107</v>
      </c>
      <c r="AB177" s="0" t="s">
        <v>108</v>
      </c>
      <c r="AC177" s="0" t="s">
        <v>134</v>
      </c>
      <c r="AD177" s="0" t="s">
        <v>515</v>
      </c>
      <c r="AE177" s="0" t="s">
        <v>109</v>
      </c>
    </row>
    <row r="178">
      <c r="A178" s="0" t="s">
        <v>28</v>
      </c>
      <c r="B178" s="0" t="s">
        <v>30</v>
      </c>
      <c r="C178" s="0" t="s">
        <v>133</v>
      </c>
      <c r="D178" s="0" t="s">
        <v>516</v>
      </c>
      <c r="E178" s="0" t="s">
        <v>229</v>
      </c>
      <c r="F178" s="0">
        <v>0</v>
      </c>
      <c r="G178" s="0" t="s">
        <v>106</v>
      </c>
      <c r="H178" s="0">
        <v>0</v>
      </c>
      <c r="I178" s="0">
        <v>0</v>
      </c>
      <c r="J178" s="0">
        <v>0</v>
      </c>
      <c r="K178" s="0">
        <v>0</v>
      </c>
      <c r="L178" s="0">
        <v>0</v>
      </c>
      <c r="M178" s="0">
        <v>0</v>
      </c>
      <c r="N178" s="0" t="b">
        <v>0</v>
      </c>
      <c r="O178" s="2">
        <v>44613.583333333336</v>
      </c>
      <c r="P178" s="2">
        <v>44613.625</v>
      </c>
      <c r="Q178" s="2">
        <v>44613.208333333336</v>
      </c>
      <c r="R178" s="2">
        <v>44613.25</v>
      </c>
      <c r="S178" s="0">
        <v>60</v>
      </c>
      <c r="T178" s="0">
        <v>12</v>
      </c>
      <c r="U178" s="0">
        <v>36</v>
      </c>
      <c r="V178" s="0">
        <v>392</v>
      </c>
      <c r="W178" s="1">
        <f>=HYPERLINK("10.175.1.14\MWEB.12\BT\EntityDetails.10.175.1.14.MWEB.12.-remote-erro.392.xlsx", "&lt;Detail&gt;")</f>
      </c>
      <c r="X178" s="1">
        <f>=HYPERLINK("10.175.1.14\MWEB.12\BT\MetricGraphs.BT.10.175.1.14.MWEB.12.xlsx", "&lt;Metrics&gt;")</f>
      </c>
      <c r="Y178" s="1">
        <f>=HYPERLINK("10.175.1.14\MWEB.12\BT\FlameGraph.BT.10.175.1.14.MWEB.12.-remote-erro.392.svg", "&lt;FlGraph&gt;")</f>
      </c>
      <c r="Z178" s="1">
        <f>=HYPERLINK("10.175.1.14\MWEB.12\BT\FlameChart.BT.10.175.1.14.MWEB.12.-remote-erro.392.svg", "&lt;FlChart&gt;")</f>
      </c>
      <c r="AA178" s="0" t="s">
        <v>107</v>
      </c>
      <c r="AB178" s="0" t="s">
        <v>108</v>
      </c>
      <c r="AC178" s="0" t="s">
        <v>134</v>
      </c>
      <c r="AD178" s="0" t="s">
        <v>517</v>
      </c>
      <c r="AE178" s="0" t="s">
        <v>109</v>
      </c>
    </row>
    <row r="179">
      <c r="A179" s="0" t="s">
        <v>28</v>
      </c>
      <c r="B179" s="0" t="s">
        <v>30</v>
      </c>
      <c r="C179" s="0" t="s">
        <v>133</v>
      </c>
      <c r="D179" s="0" t="s">
        <v>518</v>
      </c>
      <c r="E179" s="0" t="s">
        <v>229</v>
      </c>
      <c r="F179" s="0">
        <v>0</v>
      </c>
      <c r="G179" s="0" t="s">
        <v>106</v>
      </c>
      <c r="H179" s="0">
        <v>0</v>
      </c>
      <c r="I179" s="0">
        <v>0</v>
      </c>
      <c r="J179" s="0">
        <v>0</v>
      </c>
      <c r="K179" s="0">
        <v>0</v>
      </c>
      <c r="L179" s="0">
        <v>0</v>
      </c>
      <c r="M179" s="0">
        <v>0</v>
      </c>
      <c r="N179" s="0" t="b">
        <v>0</v>
      </c>
      <c r="O179" s="2">
        <v>44613.583333333336</v>
      </c>
      <c r="P179" s="2">
        <v>44613.625</v>
      </c>
      <c r="Q179" s="2">
        <v>44613.208333333336</v>
      </c>
      <c r="R179" s="2">
        <v>44613.25</v>
      </c>
      <c r="S179" s="0">
        <v>60</v>
      </c>
      <c r="T179" s="0">
        <v>12</v>
      </c>
      <c r="U179" s="0">
        <v>36</v>
      </c>
      <c r="V179" s="0">
        <v>393</v>
      </c>
      <c r="W179" s="1">
        <f>=HYPERLINK("10.175.1.14\MWEB.12\BT\EntityDetails.10.175.1.14.MWEB.12.-remote-erro.393.xlsx", "&lt;Detail&gt;")</f>
      </c>
      <c r="X179" s="1">
        <f>=HYPERLINK("10.175.1.14\MWEB.12\BT\MetricGraphs.BT.10.175.1.14.MWEB.12.xlsx", "&lt;Metrics&gt;")</f>
      </c>
      <c r="Y179" s="1">
        <f>=HYPERLINK("10.175.1.14\MWEB.12\BT\FlameGraph.BT.10.175.1.14.MWEB.12.-remote-erro.393.svg", "&lt;FlGraph&gt;")</f>
      </c>
      <c r="Z179" s="1">
        <f>=HYPERLINK("10.175.1.14\MWEB.12\BT\FlameChart.BT.10.175.1.14.MWEB.12.-remote-erro.393.svg", "&lt;FlChart&gt;")</f>
      </c>
      <c r="AA179" s="0" t="s">
        <v>107</v>
      </c>
      <c r="AB179" s="0" t="s">
        <v>108</v>
      </c>
      <c r="AC179" s="0" t="s">
        <v>134</v>
      </c>
      <c r="AD179" s="0" t="s">
        <v>519</v>
      </c>
      <c r="AE179" s="0" t="s">
        <v>109</v>
      </c>
    </row>
    <row r="180">
      <c r="A180" s="0" t="s">
        <v>28</v>
      </c>
      <c r="B180" s="0" t="s">
        <v>30</v>
      </c>
      <c r="C180" s="0" t="s">
        <v>133</v>
      </c>
      <c r="D180" s="0" t="s">
        <v>520</v>
      </c>
      <c r="E180" s="0" t="s">
        <v>229</v>
      </c>
      <c r="F180" s="0">
        <v>0</v>
      </c>
      <c r="G180" s="0" t="s">
        <v>106</v>
      </c>
      <c r="H180" s="0">
        <v>0</v>
      </c>
      <c r="I180" s="0">
        <v>0</v>
      </c>
      <c r="J180" s="0">
        <v>0</v>
      </c>
      <c r="K180" s="0">
        <v>0</v>
      </c>
      <c r="L180" s="0">
        <v>0</v>
      </c>
      <c r="M180" s="0">
        <v>0</v>
      </c>
      <c r="N180" s="0" t="b">
        <v>0</v>
      </c>
      <c r="O180" s="2">
        <v>44613.583333333336</v>
      </c>
      <c r="P180" s="2">
        <v>44613.625</v>
      </c>
      <c r="Q180" s="2">
        <v>44613.208333333336</v>
      </c>
      <c r="R180" s="2">
        <v>44613.25</v>
      </c>
      <c r="S180" s="0">
        <v>60</v>
      </c>
      <c r="T180" s="0">
        <v>12</v>
      </c>
      <c r="U180" s="0">
        <v>36</v>
      </c>
      <c r="V180" s="0">
        <v>319</v>
      </c>
      <c r="W180" s="1">
        <f>=HYPERLINK("10.175.1.14\MWEB.12\BT\EntityDetails.10.175.1.14.MWEB.12.-remote-stat.319.xlsx", "&lt;Detail&gt;")</f>
      </c>
      <c r="X180" s="1">
        <f>=HYPERLINK("10.175.1.14\MWEB.12\BT\MetricGraphs.BT.10.175.1.14.MWEB.12.xlsx", "&lt;Metrics&gt;")</f>
      </c>
      <c r="Y180" s="1">
        <f>=HYPERLINK("10.175.1.14\MWEB.12\BT\FlameGraph.BT.10.175.1.14.MWEB.12.-remote-stat.319.svg", "&lt;FlGraph&gt;")</f>
      </c>
      <c r="Z180" s="1">
        <f>=HYPERLINK("10.175.1.14\MWEB.12\BT\FlameChart.BT.10.175.1.14.MWEB.12.-remote-stat.319.svg", "&lt;FlChart&gt;")</f>
      </c>
      <c r="AA180" s="0" t="s">
        <v>107</v>
      </c>
      <c r="AB180" s="0" t="s">
        <v>108</v>
      </c>
      <c r="AC180" s="0" t="s">
        <v>134</v>
      </c>
      <c r="AD180" s="0" t="s">
        <v>521</v>
      </c>
      <c r="AE180" s="0" t="s">
        <v>109</v>
      </c>
    </row>
    <row r="181">
      <c r="A181" s="0" t="s">
        <v>28</v>
      </c>
      <c r="B181" s="0" t="s">
        <v>30</v>
      </c>
      <c r="C181" s="0" t="s">
        <v>133</v>
      </c>
      <c r="D181" s="0" t="s">
        <v>522</v>
      </c>
      <c r="E181" s="0" t="s">
        <v>229</v>
      </c>
      <c r="F181" s="0">
        <v>0</v>
      </c>
      <c r="G181" s="0" t="s">
        <v>106</v>
      </c>
      <c r="H181" s="0">
        <v>0</v>
      </c>
      <c r="I181" s="0">
        <v>0</v>
      </c>
      <c r="J181" s="0">
        <v>0</v>
      </c>
      <c r="K181" s="0">
        <v>0</v>
      </c>
      <c r="L181" s="0">
        <v>0</v>
      </c>
      <c r="M181" s="0">
        <v>0</v>
      </c>
      <c r="N181" s="0" t="b">
        <v>0</v>
      </c>
      <c r="O181" s="2">
        <v>44613.583333333336</v>
      </c>
      <c r="P181" s="2">
        <v>44613.625</v>
      </c>
      <c r="Q181" s="2">
        <v>44613.208333333336</v>
      </c>
      <c r="R181" s="2">
        <v>44613.25</v>
      </c>
      <c r="S181" s="0">
        <v>60</v>
      </c>
      <c r="T181" s="0">
        <v>12</v>
      </c>
      <c r="U181" s="0">
        <v>36</v>
      </c>
      <c r="V181" s="0">
        <v>390</v>
      </c>
      <c r="W181" s="1">
        <f>=HYPERLINK("10.175.1.14\MWEB.12\BT\EntityDetails.10.175.1.14.MWEB.12.-remote-uplo.390.xlsx", "&lt;Detail&gt;")</f>
      </c>
      <c r="X181" s="1">
        <f>=HYPERLINK("10.175.1.14\MWEB.12\BT\MetricGraphs.BT.10.175.1.14.MWEB.12.xlsx", "&lt;Metrics&gt;")</f>
      </c>
      <c r="Y181" s="1">
        <f>=HYPERLINK("10.175.1.14\MWEB.12\BT\FlameGraph.BT.10.175.1.14.MWEB.12.-remote-uplo.390.svg", "&lt;FlGraph&gt;")</f>
      </c>
      <c r="Z181" s="1">
        <f>=HYPERLINK("10.175.1.14\MWEB.12\BT\FlameChart.BT.10.175.1.14.MWEB.12.-remote-uplo.390.svg", "&lt;FlChart&gt;")</f>
      </c>
      <c r="AA181" s="0" t="s">
        <v>107</v>
      </c>
      <c r="AB181" s="0" t="s">
        <v>108</v>
      </c>
      <c r="AC181" s="0" t="s">
        <v>134</v>
      </c>
      <c r="AD181" s="0" t="s">
        <v>523</v>
      </c>
      <c r="AE181" s="0" t="s">
        <v>109</v>
      </c>
    </row>
    <row r="182">
      <c r="A182" s="0" t="s">
        <v>28</v>
      </c>
      <c r="B182" s="0" t="s">
        <v>30</v>
      </c>
      <c r="C182" s="0" t="s">
        <v>161</v>
      </c>
      <c r="D182" s="0" t="s">
        <v>524</v>
      </c>
      <c r="E182" s="0" t="s">
        <v>223</v>
      </c>
      <c r="F182" s="0">
        <v>0</v>
      </c>
      <c r="G182" s="0" t="s">
        <v>106</v>
      </c>
      <c r="H182" s="0">
        <v>0</v>
      </c>
      <c r="I182" s="0">
        <v>0</v>
      </c>
      <c r="J182" s="0">
        <v>0</v>
      </c>
      <c r="K182" s="0">
        <v>0</v>
      </c>
      <c r="L182" s="0">
        <v>0</v>
      </c>
      <c r="M182" s="0">
        <v>0</v>
      </c>
      <c r="N182" s="0" t="b">
        <v>0</v>
      </c>
      <c r="O182" s="2">
        <v>44613.583333333336</v>
      </c>
      <c r="P182" s="2">
        <v>44613.625</v>
      </c>
      <c r="Q182" s="2">
        <v>44613.208333333336</v>
      </c>
      <c r="R182" s="2">
        <v>44613.25</v>
      </c>
      <c r="S182" s="0">
        <v>60</v>
      </c>
      <c r="T182" s="0">
        <v>12</v>
      </c>
      <c r="U182" s="0">
        <v>48</v>
      </c>
      <c r="V182" s="0">
        <v>931</v>
      </c>
      <c r="W182" s="1">
        <f>=HYPERLINK("10.175.1.14\MWEB.12\BT\EntityDetails.10.175.1.14.MWEB.12.-servlet-Sno.931.xlsx", "&lt;Detail&gt;")</f>
      </c>
      <c r="X182" s="1">
        <f>=HYPERLINK("10.175.1.14\MWEB.12\BT\MetricGraphs.BT.10.175.1.14.MWEB.12.xlsx", "&lt;Metrics&gt;")</f>
      </c>
      <c r="Y182" s="1">
        <f>=HYPERLINK("10.175.1.14\MWEB.12\BT\FlameGraph.BT.10.175.1.14.MWEB.12.-servlet-Sno.931.svg", "&lt;FlGraph&gt;")</f>
      </c>
      <c r="Z182" s="1">
        <f>=HYPERLINK("10.175.1.14\MWEB.12\BT\FlameChart.BT.10.175.1.14.MWEB.12.-servlet-Sno.931.svg", "&lt;FlChart&gt;")</f>
      </c>
      <c r="AA182" s="0" t="s">
        <v>107</v>
      </c>
      <c r="AB182" s="0" t="s">
        <v>108</v>
      </c>
      <c r="AC182" s="0" t="s">
        <v>162</v>
      </c>
      <c r="AD182" s="0" t="s">
        <v>525</v>
      </c>
      <c r="AE182" s="0" t="s">
        <v>109</v>
      </c>
    </row>
    <row r="183">
      <c r="A183" s="0" t="s">
        <v>28</v>
      </c>
      <c r="B183" s="0" t="s">
        <v>30</v>
      </c>
      <c r="C183" s="0" t="s">
        <v>161</v>
      </c>
      <c r="D183" s="0" t="s">
        <v>526</v>
      </c>
      <c r="E183" s="0" t="s">
        <v>223</v>
      </c>
      <c r="F183" s="0">
        <v>0</v>
      </c>
      <c r="G183" s="0" t="s">
        <v>106</v>
      </c>
      <c r="H183" s="0">
        <v>0</v>
      </c>
      <c r="I183" s="0">
        <v>0</v>
      </c>
      <c r="J183" s="0">
        <v>0</v>
      </c>
      <c r="K183" s="0">
        <v>0</v>
      </c>
      <c r="L183" s="0">
        <v>0</v>
      </c>
      <c r="M183" s="0">
        <v>0</v>
      </c>
      <c r="N183" s="0" t="b">
        <v>0</v>
      </c>
      <c r="O183" s="2">
        <v>44613.583333333336</v>
      </c>
      <c r="P183" s="2">
        <v>44613.625</v>
      </c>
      <c r="Q183" s="2">
        <v>44613.208333333336</v>
      </c>
      <c r="R183" s="2">
        <v>44613.25</v>
      </c>
      <c r="S183" s="0">
        <v>60</v>
      </c>
      <c r="T183" s="0">
        <v>12</v>
      </c>
      <c r="U183" s="0">
        <v>48</v>
      </c>
      <c r="V183" s="0">
        <v>928</v>
      </c>
      <c r="W183" s="1">
        <f>=HYPERLINK("10.175.1.14\MWEB.12\BT\EntityDetails.10.175.1.14.MWEB.12.-SnoopServle.928.xlsx", "&lt;Detail&gt;")</f>
      </c>
      <c r="X183" s="1">
        <f>=HYPERLINK("10.175.1.14\MWEB.12\BT\MetricGraphs.BT.10.175.1.14.MWEB.12.xlsx", "&lt;Metrics&gt;")</f>
      </c>
      <c r="Y183" s="1">
        <f>=HYPERLINK("10.175.1.14\MWEB.12\BT\FlameGraph.BT.10.175.1.14.MWEB.12.-SnoopServle.928.svg", "&lt;FlGraph&gt;")</f>
      </c>
      <c r="Z183" s="1">
        <f>=HYPERLINK("10.175.1.14\MWEB.12\BT\FlameChart.BT.10.175.1.14.MWEB.12.-SnoopServle.928.svg", "&lt;FlChart&gt;")</f>
      </c>
      <c r="AA183" s="0" t="s">
        <v>107</v>
      </c>
      <c r="AB183" s="0" t="s">
        <v>108</v>
      </c>
      <c r="AC183" s="0" t="s">
        <v>162</v>
      </c>
      <c r="AD183" s="0" t="s">
        <v>527</v>
      </c>
      <c r="AE183" s="0" t="s">
        <v>109</v>
      </c>
    </row>
    <row r="184">
      <c r="A184" s="0" t="s">
        <v>28</v>
      </c>
      <c r="B184" s="0" t="s">
        <v>30</v>
      </c>
      <c r="C184" s="0" t="s">
        <v>137</v>
      </c>
      <c r="D184" s="0" t="s">
        <v>528</v>
      </c>
      <c r="E184" s="0" t="s">
        <v>229</v>
      </c>
      <c r="F184" s="0">
        <v>0</v>
      </c>
      <c r="G184" s="0" t="s">
        <v>106</v>
      </c>
      <c r="H184" s="0">
        <v>0</v>
      </c>
      <c r="I184" s="0">
        <v>0</v>
      </c>
      <c r="J184" s="0">
        <v>0</v>
      </c>
      <c r="K184" s="0">
        <v>0</v>
      </c>
      <c r="L184" s="0">
        <v>0</v>
      </c>
      <c r="M184" s="0">
        <v>0</v>
      </c>
      <c r="N184" s="0" t="b">
        <v>0</v>
      </c>
      <c r="O184" s="2">
        <v>44613.583333333336</v>
      </c>
      <c r="P184" s="2">
        <v>44613.625</v>
      </c>
      <c r="Q184" s="2">
        <v>44613.208333333336</v>
      </c>
      <c r="R184" s="2">
        <v>44613.25</v>
      </c>
      <c r="S184" s="0">
        <v>60</v>
      </c>
      <c r="T184" s="0">
        <v>12</v>
      </c>
      <c r="U184" s="0">
        <v>38</v>
      </c>
      <c r="V184" s="0">
        <v>205</v>
      </c>
      <c r="W184" s="1">
        <f>=HYPERLINK("10.175.1.14\MWEB.12\BT\EntityDetails.10.175.1.14.MWEB.12.-stub-dummy.205.xlsx", "&lt;Detail&gt;")</f>
      </c>
      <c r="X184" s="1">
        <f>=HYPERLINK("10.175.1.14\MWEB.12\BT\MetricGraphs.BT.10.175.1.14.MWEB.12.xlsx", "&lt;Metrics&gt;")</f>
      </c>
      <c r="Y184" s="1">
        <f>=HYPERLINK("10.175.1.14\MWEB.12\BT\FlameGraph.BT.10.175.1.14.MWEB.12.-stub-dummy.205.svg", "&lt;FlGraph&gt;")</f>
      </c>
      <c r="Z184" s="1">
        <f>=HYPERLINK("10.175.1.14\MWEB.12\BT\FlameChart.BT.10.175.1.14.MWEB.12.-stub-dummy.205.svg", "&lt;FlChart&gt;")</f>
      </c>
      <c r="AA184" s="0" t="s">
        <v>107</v>
      </c>
      <c r="AB184" s="0" t="s">
        <v>108</v>
      </c>
      <c r="AC184" s="0" t="s">
        <v>138</v>
      </c>
      <c r="AD184" s="0" t="s">
        <v>529</v>
      </c>
      <c r="AE184" s="0" t="s">
        <v>109</v>
      </c>
    </row>
    <row r="185">
      <c r="A185" s="0" t="s">
        <v>28</v>
      </c>
      <c r="B185" s="0" t="s">
        <v>30</v>
      </c>
      <c r="C185" s="0" t="s">
        <v>161</v>
      </c>
      <c r="D185" s="0" t="s">
        <v>530</v>
      </c>
      <c r="E185" s="0" t="s">
        <v>223</v>
      </c>
      <c r="F185" s="0">
        <v>0</v>
      </c>
      <c r="G185" s="0" t="s">
        <v>106</v>
      </c>
      <c r="H185" s="0">
        <v>0</v>
      </c>
      <c r="I185" s="0">
        <v>0</v>
      </c>
      <c r="J185" s="0">
        <v>0</v>
      </c>
      <c r="K185" s="0">
        <v>0</v>
      </c>
      <c r="L185" s="0">
        <v>0</v>
      </c>
      <c r="M185" s="0">
        <v>0</v>
      </c>
      <c r="N185" s="0" t="b">
        <v>0</v>
      </c>
      <c r="O185" s="2">
        <v>44613.583333333336</v>
      </c>
      <c r="P185" s="2">
        <v>44613.625</v>
      </c>
      <c r="Q185" s="2">
        <v>44613.208333333336</v>
      </c>
      <c r="R185" s="2">
        <v>44613.25</v>
      </c>
      <c r="S185" s="0">
        <v>60</v>
      </c>
      <c r="T185" s="0">
        <v>12</v>
      </c>
      <c r="U185" s="0">
        <v>48</v>
      </c>
      <c r="V185" s="0">
        <v>934</v>
      </c>
      <c r="W185" s="1">
        <f>=HYPERLINK("10.175.1.14\MWEB.12\BT\EntityDetails.10.175.1.14.MWEB.12.-tmui-.934.xlsx", "&lt;Detail&gt;")</f>
      </c>
      <c r="X185" s="1">
        <f>=HYPERLINK("10.175.1.14\MWEB.12\BT\MetricGraphs.BT.10.175.1.14.MWEB.12.xlsx", "&lt;Metrics&gt;")</f>
      </c>
      <c r="Y185" s="1">
        <f>=HYPERLINK("10.175.1.14\MWEB.12\BT\FlameGraph.BT.10.175.1.14.MWEB.12.-tmui-.934.svg", "&lt;FlGraph&gt;")</f>
      </c>
      <c r="Z185" s="1">
        <f>=HYPERLINK("10.175.1.14\MWEB.12\BT\FlameChart.BT.10.175.1.14.MWEB.12.-tmui-.934.svg", "&lt;FlChart&gt;")</f>
      </c>
      <c r="AA185" s="0" t="s">
        <v>107</v>
      </c>
      <c r="AB185" s="0" t="s">
        <v>108</v>
      </c>
      <c r="AC185" s="0" t="s">
        <v>162</v>
      </c>
      <c r="AD185" s="0" t="s">
        <v>531</v>
      </c>
      <c r="AE185" s="0" t="s">
        <v>109</v>
      </c>
    </row>
    <row r="186">
      <c r="A186" s="0" t="s">
        <v>28</v>
      </c>
      <c r="B186" s="0" t="s">
        <v>30</v>
      </c>
      <c r="C186" s="0" t="s">
        <v>125</v>
      </c>
      <c r="D186" s="0" t="s">
        <v>532</v>
      </c>
      <c r="E186" s="0" t="s">
        <v>229</v>
      </c>
      <c r="F186" s="0">
        <v>0</v>
      </c>
      <c r="G186" s="0" t="s">
        <v>106</v>
      </c>
      <c r="H186" s="0">
        <v>0</v>
      </c>
      <c r="I186" s="0">
        <v>0</v>
      </c>
      <c r="J186" s="0">
        <v>0</v>
      </c>
      <c r="K186" s="0">
        <v>0</v>
      </c>
      <c r="L186" s="0">
        <v>0</v>
      </c>
      <c r="M186" s="0">
        <v>0</v>
      </c>
      <c r="N186" s="0" t="b">
        <v>0</v>
      </c>
      <c r="O186" s="2">
        <v>44613.583333333336</v>
      </c>
      <c r="P186" s="2">
        <v>44613.625</v>
      </c>
      <c r="Q186" s="2">
        <v>44613.208333333336</v>
      </c>
      <c r="R186" s="2">
        <v>44613.25</v>
      </c>
      <c r="S186" s="0">
        <v>60</v>
      </c>
      <c r="T186" s="0">
        <v>12</v>
      </c>
      <c r="U186" s="0">
        <v>42</v>
      </c>
      <c r="V186" s="0">
        <v>409</v>
      </c>
      <c r="W186" s="1">
        <f>=HYPERLINK("10.175.1.14\MWEB.12\BT\EntityDetails.10.175.1.14.MWEB.12.-WEB-INF-jsp.409.xlsx", "&lt;Detail&gt;")</f>
      </c>
      <c r="X186" s="1">
        <f>=HYPERLINK("10.175.1.14\MWEB.12\BT\MetricGraphs.BT.10.175.1.14.MWEB.12.xlsx", "&lt;Metrics&gt;")</f>
      </c>
      <c r="Y186" s="1">
        <f>=HYPERLINK("10.175.1.14\MWEB.12\BT\FlameGraph.BT.10.175.1.14.MWEB.12.-WEB-INF-jsp.409.svg", "&lt;FlGraph&gt;")</f>
      </c>
      <c r="Z186" s="1">
        <f>=HYPERLINK("10.175.1.14\MWEB.12\BT\FlameChart.BT.10.175.1.14.MWEB.12.-WEB-INF-jsp.409.svg", "&lt;FlChart&gt;")</f>
      </c>
      <c r="AA186" s="0" t="s">
        <v>107</v>
      </c>
      <c r="AB186" s="0" t="s">
        <v>108</v>
      </c>
      <c r="AC186" s="0" t="s">
        <v>126</v>
      </c>
      <c r="AD186" s="0" t="s">
        <v>533</v>
      </c>
      <c r="AE186" s="0" t="s">
        <v>109</v>
      </c>
    </row>
    <row r="187">
      <c r="A187" s="0" t="s">
        <v>28</v>
      </c>
      <c r="B187" s="0" t="s">
        <v>30</v>
      </c>
      <c r="C187" s="0" t="s">
        <v>147</v>
      </c>
      <c r="D187" s="0" t="s">
        <v>532</v>
      </c>
      <c r="E187" s="0" t="s">
        <v>229</v>
      </c>
      <c r="F187" s="0">
        <v>0</v>
      </c>
      <c r="G187" s="0" t="s">
        <v>106</v>
      </c>
      <c r="H187" s="0">
        <v>0</v>
      </c>
      <c r="I187" s="0">
        <v>0</v>
      </c>
      <c r="J187" s="0">
        <v>0</v>
      </c>
      <c r="K187" s="0">
        <v>0</v>
      </c>
      <c r="L187" s="0">
        <v>0</v>
      </c>
      <c r="M187" s="0">
        <v>0</v>
      </c>
      <c r="N187" s="0" t="b">
        <v>0</v>
      </c>
      <c r="O187" s="2">
        <v>44613.583333333336</v>
      </c>
      <c r="P187" s="2">
        <v>44613.625</v>
      </c>
      <c r="Q187" s="2">
        <v>44613.208333333336</v>
      </c>
      <c r="R187" s="2">
        <v>44613.25</v>
      </c>
      <c r="S187" s="0">
        <v>60</v>
      </c>
      <c r="T187" s="0">
        <v>12</v>
      </c>
      <c r="U187" s="0">
        <v>49</v>
      </c>
      <c r="V187" s="0">
        <v>793</v>
      </c>
      <c r="W187" s="1">
        <f>=HYPERLINK("10.175.1.14\MWEB.12\BT\EntityDetails.10.175.1.14.MWEB.12.-WEB-INF-jsp.793.xlsx", "&lt;Detail&gt;")</f>
      </c>
      <c r="X187" s="1">
        <f>=HYPERLINK("10.175.1.14\MWEB.12\BT\MetricGraphs.BT.10.175.1.14.MWEB.12.xlsx", "&lt;Metrics&gt;")</f>
      </c>
      <c r="Y187" s="1">
        <f>=HYPERLINK("10.175.1.14\MWEB.12\BT\FlameGraph.BT.10.175.1.14.MWEB.12.-WEB-INF-jsp.793.svg", "&lt;FlGraph&gt;")</f>
      </c>
      <c r="Z187" s="1">
        <f>=HYPERLINK("10.175.1.14\MWEB.12\BT\FlameChart.BT.10.175.1.14.MWEB.12.-WEB-INF-jsp.793.svg", "&lt;FlChart&gt;")</f>
      </c>
      <c r="AA187" s="0" t="s">
        <v>107</v>
      </c>
      <c r="AB187" s="0" t="s">
        <v>108</v>
      </c>
      <c r="AC187" s="0" t="s">
        <v>148</v>
      </c>
      <c r="AD187" s="0" t="s">
        <v>534</v>
      </c>
      <c r="AE187" s="0" t="s">
        <v>109</v>
      </c>
    </row>
    <row r="188">
      <c r="A188" s="0" t="s">
        <v>28</v>
      </c>
      <c r="B188" s="0" t="s">
        <v>30</v>
      </c>
      <c r="C188" s="0" t="s">
        <v>127</v>
      </c>
      <c r="D188" s="0" t="s">
        <v>535</v>
      </c>
      <c r="E188" s="0" t="s">
        <v>229</v>
      </c>
      <c r="F188" s="0">
        <v>0</v>
      </c>
      <c r="G188" s="0" t="s">
        <v>106</v>
      </c>
      <c r="H188" s="0">
        <v>0</v>
      </c>
      <c r="I188" s="0">
        <v>0</v>
      </c>
      <c r="J188" s="0">
        <v>0</v>
      </c>
      <c r="K188" s="0">
        <v>0</v>
      </c>
      <c r="L188" s="0">
        <v>0</v>
      </c>
      <c r="M188" s="0">
        <v>0</v>
      </c>
      <c r="N188" s="0" t="b">
        <v>0</v>
      </c>
      <c r="O188" s="2">
        <v>44613.583333333336</v>
      </c>
      <c r="P188" s="2">
        <v>44613.625</v>
      </c>
      <c r="Q188" s="2">
        <v>44613.208333333336</v>
      </c>
      <c r="R188" s="2">
        <v>44613.25</v>
      </c>
      <c r="S188" s="0">
        <v>60</v>
      </c>
      <c r="T188" s="0">
        <v>12</v>
      </c>
      <c r="U188" s="0">
        <v>39</v>
      </c>
      <c r="V188" s="0">
        <v>174</v>
      </c>
      <c r="W188" s="1">
        <f>=HYPERLINK("10.175.1.14\MWEB.12\BT\EntityDetails.10.175.1.14.MWEB.12.-wins-inet.174.xlsx", "&lt;Detail&gt;")</f>
      </c>
      <c r="X188" s="1">
        <f>=HYPERLINK("10.175.1.14\MWEB.12\BT\MetricGraphs.BT.10.175.1.14.MWEB.12.xlsx", "&lt;Metrics&gt;")</f>
      </c>
      <c r="Y188" s="1">
        <f>=HYPERLINK("10.175.1.14\MWEB.12\BT\FlameGraph.BT.10.175.1.14.MWEB.12.-wins-inet.174.svg", "&lt;FlGraph&gt;")</f>
      </c>
      <c r="Z188" s="1">
        <f>=HYPERLINK("10.175.1.14\MWEB.12\BT\FlameChart.BT.10.175.1.14.MWEB.12.-wins-inet.174.svg", "&lt;FlChart&gt;")</f>
      </c>
      <c r="AA188" s="0" t="s">
        <v>107</v>
      </c>
      <c r="AB188" s="0" t="s">
        <v>108</v>
      </c>
      <c r="AC188" s="0" t="s">
        <v>128</v>
      </c>
      <c r="AD188" s="0" t="s">
        <v>536</v>
      </c>
      <c r="AE188" s="0" t="s">
        <v>109</v>
      </c>
    </row>
    <row r="189">
      <c r="A189" s="0" t="s">
        <v>28</v>
      </c>
      <c r="B189" s="0" t="s">
        <v>30</v>
      </c>
      <c r="C189" s="0" t="s">
        <v>127</v>
      </c>
      <c r="D189" s="0" t="s">
        <v>537</v>
      </c>
      <c r="E189" s="0" t="s">
        <v>229</v>
      </c>
      <c r="F189" s="0">
        <v>0</v>
      </c>
      <c r="G189" s="0" t="s">
        <v>106</v>
      </c>
      <c r="H189" s="0">
        <v>0</v>
      </c>
      <c r="I189" s="0">
        <v>0</v>
      </c>
      <c r="J189" s="0">
        <v>0</v>
      </c>
      <c r="K189" s="0">
        <v>0</v>
      </c>
      <c r="L189" s="0">
        <v>0</v>
      </c>
      <c r="M189" s="0">
        <v>0</v>
      </c>
      <c r="N189" s="0" t="b">
        <v>0</v>
      </c>
      <c r="O189" s="2">
        <v>44613.583333333336</v>
      </c>
      <c r="P189" s="2">
        <v>44613.625</v>
      </c>
      <c r="Q189" s="2">
        <v>44613.208333333336</v>
      </c>
      <c r="R189" s="2">
        <v>44613.25</v>
      </c>
      <c r="S189" s="0">
        <v>60</v>
      </c>
      <c r="T189" s="0">
        <v>12</v>
      </c>
      <c r="U189" s="0">
        <v>39</v>
      </c>
      <c r="V189" s="0">
        <v>128</v>
      </c>
      <c r="W189" s="1">
        <f>=HYPERLINK("10.175.1.14\MWEB.12\BT\EntityDetails.10.175.1.14.MWEB.12.-wins-inquir.128.xlsx", "&lt;Detail&gt;")</f>
      </c>
      <c r="X189" s="1">
        <f>=HYPERLINK("10.175.1.14\MWEB.12\BT\MetricGraphs.BT.10.175.1.14.MWEB.12.xlsx", "&lt;Metrics&gt;")</f>
      </c>
      <c r="Y189" s="1">
        <f>=HYPERLINK("10.175.1.14\MWEB.12\BT\FlameGraph.BT.10.175.1.14.MWEB.12.-wins-inquir.128.svg", "&lt;FlGraph&gt;")</f>
      </c>
      <c r="Z189" s="1">
        <f>=HYPERLINK("10.175.1.14\MWEB.12\BT\FlameChart.BT.10.175.1.14.MWEB.12.-wins-inquir.128.svg", "&lt;FlChart&gt;")</f>
      </c>
      <c r="AA189" s="0" t="s">
        <v>107</v>
      </c>
      <c r="AB189" s="0" t="s">
        <v>108</v>
      </c>
      <c r="AC189" s="0" t="s">
        <v>128</v>
      </c>
      <c r="AD189" s="0" t="s">
        <v>538</v>
      </c>
      <c r="AE189" s="0" t="s">
        <v>109</v>
      </c>
    </row>
    <row r="190">
      <c r="A190" s="0" t="s">
        <v>28</v>
      </c>
      <c r="B190" s="0" t="s">
        <v>30</v>
      </c>
      <c r="C190" s="0" t="s">
        <v>127</v>
      </c>
      <c r="D190" s="0" t="s">
        <v>539</v>
      </c>
      <c r="E190" s="0" t="s">
        <v>229</v>
      </c>
      <c r="F190" s="0">
        <v>0</v>
      </c>
      <c r="G190" s="0" t="s">
        <v>106</v>
      </c>
      <c r="H190" s="0">
        <v>0</v>
      </c>
      <c r="I190" s="0">
        <v>0</v>
      </c>
      <c r="J190" s="0">
        <v>0</v>
      </c>
      <c r="K190" s="0">
        <v>0</v>
      </c>
      <c r="L190" s="0">
        <v>0</v>
      </c>
      <c r="M190" s="0">
        <v>0</v>
      </c>
      <c r="N190" s="0" t="b">
        <v>0</v>
      </c>
      <c r="O190" s="2">
        <v>44613.583333333336</v>
      </c>
      <c r="P190" s="2">
        <v>44613.625</v>
      </c>
      <c r="Q190" s="2">
        <v>44613.208333333336</v>
      </c>
      <c r="R190" s="2">
        <v>44613.25</v>
      </c>
      <c r="S190" s="0">
        <v>60</v>
      </c>
      <c r="T190" s="0">
        <v>12</v>
      </c>
      <c r="U190" s="0">
        <v>39</v>
      </c>
      <c r="V190" s="0">
        <v>125</v>
      </c>
      <c r="W190" s="1">
        <f>=HYPERLINK("10.175.1.14\MWEB.12\BT\EntityDetails.10.175.1.14.MWEB.12.-wins-login.125.xlsx", "&lt;Detail&gt;")</f>
      </c>
      <c r="X190" s="1">
        <f>=HYPERLINK("10.175.1.14\MWEB.12\BT\MetricGraphs.BT.10.175.1.14.MWEB.12.xlsx", "&lt;Metrics&gt;")</f>
      </c>
      <c r="Y190" s="1">
        <f>=HYPERLINK("10.175.1.14\MWEB.12\BT\FlameGraph.BT.10.175.1.14.MWEB.12.-wins-login.125.svg", "&lt;FlGraph&gt;")</f>
      </c>
      <c r="Z190" s="1">
        <f>=HYPERLINK("10.175.1.14\MWEB.12\BT\FlameChart.BT.10.175.1.14.MWEB.12.-wins-login.125.svg", "&lt;FlChart&gt;")</f>
      </c>
      <c r="AA190" s="0" t="s">
        <v>107</v>
      </c>
      <c r="AB190" s="0" t="s">
        <v>108</v>
      </c>
      <c r="AC190" s="0" t="s">
        <v>128</v>
      </c>
      <c r="AD190" s="0" t="s">
        <v>540</v>
      </c>
      <c r="AE190" s="0" t="s">
        <v>109</v>
      </c>
    </row>
    <row r="191">
      <c r="A191" s="0" t="s">
        <v>28</v>
      </c>
      <c r="B191" s="0" t="s">
        <v>30</v>
      </c>
      <c r="C191" s="0" t="s">
        <v>127</v>
      </c>
      <c r="D191" s="0" t="s">
        <v>541</v>
      </c>
      <c r="E191" s="0" t="s">
        <v>229</v>
      </c>
      <c r="F191" s="0">
        <v>0</v>
      </c>
      <c r="G191" s="0" t="s">
        <v>106</v>
      </c>
      <c r="H191" s="0">
        <v>0</v>
      </c>
      <c r="I191" s="0">
        <v>0</v>
      </c>
      <c r="J191" s="0">
        <v>0</v>
      </c>
      <c r="K191" s="0">
        <v>0</v>
      </c>
      <c r="L191" s="0">
        <v>0</v>
      </c>
      <c r="M191" s="0">
        <v>0</v>
      </c>
      <c r="N191" s="0" t="b">
        <v>0</v>
      </c>
      <c r="O191" s="2">
        <v>44613.583333333336</v>
      </c>
      <c r="P191" s="2">
        <v>44613.625</v>
      </c>
      <c r="Q191" s="2">
        <v>44613.208333333336</v>
      </c>
      <c r="R191" s="2">
        <v>44613.25</v>
      </c>
      <c r="S191" s="0">
        <v>60</v>
      </c>
      <c r="T191" s="0">
        <v>12</v>
      </c>
      <c r="U191" s="0">
        <v>39</v>
      </c>
      <c r="V191" s="0">
        <v>127</v>
      </c>
      <c r="W191" s="1">
        <f>=HYPERLINK("10.175.1.14\MWEB.12\BT\EntityDetails.10.175.1.14.MWEB.12.-wins-passwo.127.xlsx", "&lt;Detail&gt;")</f>
      </c>
      <c r="X191" s="1">
        <f>=HYPERLINK("10.175.1.14\MWEB.12\BT\MetricGraphs.BT.10.175.1.14.MWEB.12.xlsx", "&lt;Metrics&gt;")</f>
      </c>
      <c r="Y191" s="1">
        <f>=HYPERLINK("10.175.1.14\MWEB.12\BT\FlameGraph.BT.10.175.1.14.MWEB.12.-wins-passwo.127.svg", "&lt;FlGraph&gt;")</f>
      </c>
      <c r="Z191" s="1">
        <f>=HYPERLINK("10.175.1.14\MWEB.12\BT\FlameChart.BT.10.175.1.14.MWEB.12.-wins-passwo.127.svg", "&lt;FlChart&gt;")</f>
      </c>
      <c r="AA191" s="0" t="s">
        <v>107</v>
      </c>
      <c r="AB191" s="0" t="s">
        <v>108</v>
      </c>
      <c r="AC191" s="0" t="s">
        <v>128</v>
      </c>
      <c r="AD191" s="0" t="s">
        <v>542</v>
      </c>
      <c r="AE191" s="0" t="s">
        <v>109</v>
      </c>
    </row>
    <row r="192">
      <c r="A192" s="0" t="s">
        <v>28</v>
      </c>
      <c r="B192" s="0" t="s">
        <v>30</v>
      </c>
      <c r="C192" s="0" t="s">
        <v>127</v>
      </c>
      <c r="D192" s="0" t="s">
        <v>543</v>
      </c>
      <c r="E192" s="0" t="s">
        <v>229</v>
      </c>
      <c r="F192" s="0">
        <v>0</v>
      </c>
      <c r="G192" s="0" t="s">
        <v>106</v>
      </c>
      <c r="H192" s="0">
        <v>0</v>
      </c>
      <c r="I192" s="0">
        <v>0</v>
      </c>
      <c r="J192" s="0">
        <v>0</v>
      </c>
      <c r="K192" s="0">
        <v>0</v>
      </c>
      <c r="L192" s="0">
        <v>0</v>
      </c>
      <c r="M192" s="0">
        <v>0</v>
      </c>
      <c r="N192" s="0" t="b">
        <v>0</v>
      </c>
      <c r="O192" s="2">
        <v>44613.583333333336</v>
      </c>
      <c r="P192" s="2">
        <v>44613.625</v>
      </c>
      <c r="Q192" s="2">
        <v>44613.208333333336</v>
      </c>
      <c r="R192" s="2">
        <v>44613.25</v>
      </c>
      <c r="S192" s="0">
        <v>60</v>
      </c>
      <c r="T192" s="0">
        <v>12</v>
      </c>
      <c r="U192" s="0">
        <v>39</v>
      </c>
      <c r="V192" s="0">
        <v>134</v>
      </c>
      <c r="W192" s="1">
        <f>=HYPERLINK("10.175.1.14\MWEB.12\BT\EntityDetails.10.175.1.14.MWEB.12.-wins-reques.134.xlsx", "&lt;Detail&gt;")</f>
      </c>
      <c r="X192" s="1">
        <f>=HYPERLINK("10.175.1.14\MWEB.12\BT\MetricGraphs.BT.10.175.1.14.MWEB.12.xlsx", "&lt;Metrics&gt;")</f>
      </c>
      <c r="Y192" s="1">
        <f>=HYPERLINK("10.175.1.14\MWEB.12\BT\FlameGraph.BT.10.175.1.14.MWEB.12.-wins-reques.134.svg", "&lt;FlGraph&gt;")</f>
      </c>
      <c r="Z192" s="1">
        <f>=HYPERLINK("10.175.1.14\MWEB.12\BT\FlameChart.BT.10.175.1.14.MWEB.12.-wins-reques.134.svg", "&lt;FlChart&gt;")</f>
      </c>
      <c r="AA192" s="0" t="s">
        <v>107</v>
      </c>
      <c r="AB192" s="0" t="s">
        <v>108</v>
      </c>
      <c r="AC192" s="0" t="s">
        <v>128</v>
      </c>
      <c r="AD192" s="0" t="s">
        <v>544</v>
      </c>
      <c r="AE192" s="0" t="s">
        <v>109</v>
      </c>
    </row>
    <row r="193">
      <c r="A193" s="0" t="s">
        <v>28</v>
      </c>
      <c r="B193" s="0" t="s">
        <v>30</v>
      </c>
      <c r="C193" s="0" t="s">
        <v>127</v>
      </c>
      <c r="D193" s="0" t="s">
        <v>545</v>
      </c>
      <c r="E193" s="0" t="s">
        <v>229</v>
      </c>
      <c r="F193" s="0">
        <v>0</v>
      </c>
      <c r="G193" s="0" t="s">
        <v>106</v>
      </c>
      <c r="H193" s="0">
        <v>0</v>
      </c>
      <c r="I193" s="0">
        <v>0</v>
      </c>
      <c r="J193" s="0">
        <v>0</v>
      </c>
      <c r="K193" s="0">
        <v>0</v>
      </c>
      <c r="L193" s="0">
        <v>0</v>
      </c>
      <c r="M193" s="0">
        <v>0</v>
      </c>
      <c r="N193" s="0" t="b">
        <v>0</v>
      </c>
      <c r="O193" s="2">
        <v>44613.583333333336</v>
      </c>
      <c r="P193" s="2">
        <v>44613.625</v>
      </c>
      <c r="Q193" s="2">
        <v>44613.208333333336</v>
      </c>
      <c r="R193" s="2">
        <v>44613.25</v>
      </c>
      <c r="S193" s="0">
        <v>60</v>
      </c>
      <c r="T193" s="0">
        <v>12</v>
      </c>
      <c r="U193" s="0">
        <v>39</v>
      </c>
      <c r="V193" s="0">
        <v>132</v>
      </c>
      <c r="W193" s="1">
        <f>=HYPERLINK("10.175.1.14\MWEB.12\BT\EntityDetails.10.175.1.14.MWEB.12.-wins-reset.132.xlsx", "&lt;Detail&gt;")</f>
      </c>
      <c r="X193" s="1">
        <f>=HYPERLINK("10.175.1.14\MWEB.12\BT\MetricGraphs.BT.10.175.1.14.MWEB.12.xlsx", "&lt;Metrics&gt;")</f>
      </c>
      <c r="Y193" s="1">
        <f>=HYPERLINK("10.175.1.14\MWEB.12\BT\FlameGraph.BT.10.175.1.14.MWEB.12.-wins-reset.132.svg", "&lt;FlGraph&gt;")</f>
      </c>
      <c r="Z193" s="1">
        <f>=HYPERLINK("10.175.1.14\MWEB.12\BT\FlameChart.BT.10.175.1.14.MWEB.12.-wins-reset.132.svg", "&lt;FlChart&gt;")</f>
      </c>
      <c r="AA193" s="0" t="s">
        <v>107</v>
      </c>
      <c r="AB193" s="0" t="s">
        <v>108</v>
      </c>
      <c r="AC193" s="0" t="s">
        <v>128</v>
      </c>
      <c r="AD193" s="0" t="s">
        <v>546</v>
      </c>
      <c r="AE193" s="0" t="s">
        <v>109</v>
      </c>
    </row>
    <row r="194">
      <c r="A194" s="0" t="s">
        <v>28</v>
      </c>
      <c r="B194" s="0" t="s">
        <v>30</v>
      </c>
      <c r="C194" s="0" t="s">
        <v>127</v>
      </c>
      <c r="D194" s="0" t="s">
        <v>547</v>
      </c>
      <c r="E194" s="0" t="s">
        <v>229</v>
      </c>
      <c r="F194" s="0">
        <v>0</v>
      </c>
      <c r="G194" s="0" t="s">
        <v>106</v>
      </c>
      <c r="H194" s="0">
        <v>0</v>
      </c>
      <c r="I194" s="0">
        <v>0</v>
      </c>
      <c r="J194" s="0">
        <v>0</v>
      </c>
      <c r="K194" s="0">
        <v>0</v>
      </c>
      <c r="L194" s="0">
        <v>0</v>
      </c>
      <c r="M194" s="0">
        <v>0</v>
      </c>
      <c r="N194" s="0" t="b">
        <v>0</v>
      </c>
      <c r="O194" s="2">
        <v>44613.583333333336</v>
      </c>
      <c r="P194" s="2">
        <v>44613.625</v>
      </c>
      <c r="Q194" s="2">
        <v>44613.208333333336</v>
      </c>
      <c r="R194" s="2">
        <v>44613.25</v>
      </c>
      <c r="S194" s="0">
        <v>60</v>
      </c>
      <c r="T194" s="0">
        <v>12</v>
      </c>
      <c r="U194" s="0">
        <v>39</v>
      </c>
      <c r="V194" s="0">
        <v>126</v>
      </c>
      <c r="W194" s="1">
        <f>=HYPERLINK("10.175.1.14\MWEB.12\BT\EntityDetails.10.175.1.14.MWEB.12.-wins-select.126.xlsx", "&lt;Detail&gt;")</f>
      </c>
      <c r="X194" s="1">
        <f>=HYPERLINK("10.175.1.14\MWEB.12\BT\MetricGraphs.BT.10.175.1.14.MWEB.12.xlsx", "&lt;Metrics&gt;")</f>
      </c>
      <c r="Y194" s="1">
        <f>=HYPERLINK("10.175.1.14\MWEB.12\BT\FlameGraph.BT.10.175.1.14.MWEB.12.-wins-select.126.svg", "&lt;FlGraph&gt;")</f>
      </c>
      <c r="Z194" s="1">
        <f>=HYPERLINK("10.175.1.14\MWEB.12\BT\FlameChart.BT.10.175.1.14.MWEB.12.-wins-select.126.svg", "&lt;FlChart&gt;")</f>
      </c>
      <c r="AA194" s="0" t="s">
        <v>107</v>
      </c>
      <c r="AB194" s="0" t="s">
        <v>108</v>
      </c>
      <c r="AC194" s="0" t="s">
        <v>128</v>
      </c>
      <c r="AD194" s="0" t="s">
        <v>548</v>
      </c>
      <c r="AE194" s="0" t="s">
        <v>109</v>
      </c>
    </row>
    <row r="195">
      <c r="A195" s="0" t="s">
        <v>28</v>
      </c>
      <c r="B195" s="0" t="s">
        <v>30</v>
      </c>
      <c r="C195" s="0" t="s">
        <v>127</v>
      </c>
      <c r="D195" s="0" t="s">
        <v>549</v>
      </c>
      <c r="E195" s="0" t="s">
        <v>229</v>
      </c>
      <c r="F195" s="0">
        <v>0</v>
      </c>
      <c r="G195" s="0" t="s">
        <v>106</v>
      </c>
      <c r="H195" s="0">
        <v>0</v>
      </c>
      <c r="I195" s="0">
        <v>0</v>
      </c>
      <c r="J195" s="0">
        <v>0</v>
      </c>
      <c r="K195" s="0">
        <v>0</v>
      </c>
      <c r="L195" s="0">
        <v>0</v>
      </c>
      <c r="M195" s="0">
        <v>0</v>
      </c>
      <c r="N195" s="0" t="b">
        <v>0</v>
      </c>
      <c r="O195" s="2">
        <v>44613.583333333336</v>
      </c>
      <c r="P195" s="2">
        <v>44613.625</v>
      </c>
      <c r="Q195" s="2">
        <v>44613.208333333336</v>
      </c>
      <c r="R195" s="2">
        <v>44613.25</v>
      </c>
      <c r="S195" s="0">
        <v>60</v>
      </c>
      <c r="T195" s="0">
        <v>12</v>
      </c>
      <c r="U195" s="0">
        <v>39</v>
      </c>
      <c r="V195" s="0">
        <v>140</v>
      </c>
      <c r="W195" s="1">
        <f>=HYPERLINK("10.175.1.14\MWEB.12\BT\EntityDetails.10.175.1.14.MWEB.12.-wins-userad.140.xlsx", "&lt;Detail&gt;")</f>
      </c>
      <c r="X195" s="1">
        <f>=HYPERLINK("10.175.1.14\MWEB.12\BT\MetricGraphs.BT.10.175.1.14.MWEB.12.xlsx", "&lt;Metrics&gt;")</f>
      </c>
      <c r="Y195" s="1">
        <f>=HYPERLINK("10.175.1.14\MWEB.12\BT\FlameGraph.BT.10.175.1.14.MWEB.12.-wins-userad.140.svg", "&lt;FlGraph&gt;")</f>
      </c>
      <c r="Z195" s="1">
        <f>=HYPERLINK("10.175.1.14\MWEB.12\BT\FlameChart.BT.10.175.1.14.MWEB.12.-wins-userad.140.svg", "&lt;FlChart&gt;")</f>
      </c>
      <c r="AA195" s="0" t="s">
        <v>107</v>
      </c>
      <c r="AB195" s="0" t="s">
        <v>108</v>
      </c>
      <c r="AC195" s="0" t="s">
        <v>128</v>
      </c>
      <c r="AD195" s="0" t="s">
        <v>550</v>
      </c>
      <c r="AE195" s="0" t="s">
        <v>109</v>
      </c>
    </row>
    <row r="196">
      <c r="A196" s="0" t="s">
        <v>28</v>
      </c>
      <c r="B196" s="0" t="s">
        <v>30</v>
      </c>
      <c r="C196" s="0" t="s">
        <v>127</v>
      </c>
      <c r="D196" s="0" t="s">
        <v>551</v>
      </c>
      <c r="E196" s="0" t="s">
        <v>229</v>
      </c>
      <c r="F196" s="0">
        <v>0</v>
      </c>
      <c r="G196" s="0" t="s">
        <v>106</v>
      </c>
      <c r="H196" s="0">
        <v>0</v>
      </c>
      <c r="I196" s="0">
        <v>0</v>
      </c>
      <c r="J196" s="0">
        <v>0</v>
      </c>
      <c r="K196" s="0">
        <v>0</v>
      </c>
      <c r="L196" s="0">
        <v>0</v>
      </c>
      <c r="M196" s="0">
        <v>0</v>
      </c>
      <c r="N196" s="0" t="b">
        <v>0</v>
      </c>
      <c r="O196" s="2">
        <v>44613.583333333336</v>
      </c>
      <c r="P196" s="2">
        <v>44613.625</v>
      </c>
      <c r="Q196" s="2">
        <v>44613.208333333336</v>
      </c>
      <c r="R196" s="2">
        <v>44613.25</v>
      </c>
      <c r="S196" s="0">
        <v>60</v>
      </c>
      <c r="T196" s="0">
        <v>12</v>
      </c>
      <c r="U196" s="0">
        <v>39</v>
      </c>
      <c r="V196" s="0">
        <v>142</v>
      </c>
      <c r="W196" s="1">
        <f>=HYPERLINK("10.175.1.14\MWEB.12\BT\EntityDetails.10.175.1.14.MWEB.12.-wins-userch.142.xlsx", "&lt;Detail&gt;")</f>
      </c>
      <c r="X196" s="1">
        <f>=HYPERLINK("10.175.1.14\MWEB.12\BT\MetricGraphs.BT.10.175.1.14.MWEB.12.xlsx", "&lt;Metrics&gt;")</f>
      </c>
      <c r="Y196" s="1">
        <f>=HYPERLINK("10.175.1.14\MWEB.12\BT\FlameGraph.BT.10.175.1.14.MWEB.12.-wins-userch.142.svg", "&lt;FlGraph&gt;")</f>
      </c>
      <c r="Z196" s="1">
        <f>=HYPERLINK("10.175.1.14\MWEB.12\BT\FlameChart.BT.10.175.1.14.MWEB.12.-wins-userch.142.svg", "&lt;FlChart&gt;")</f>
      </c>
      <c r="AA196" s="0" t="s">
        <v>107</v>
      </c>
      <c r="AB196" s="0" t="s">
        <v>108</v>
      </c>
      <c r="AC196" s="0" t="s">
        <v>128</v>
      </c>
      <c r="AD196" s="0" t="s">
        <v>552</v>
      </c>
      <c r="AE196" s="0" t="s">
        <v>109</v>
      </c>
    </row>
    <row r="197">
      <c r="A197" s="0" t="s">
        <v>28</v>
      </c>
      <c r="B197" s="0" t="s">
        <v>30</v>
      </c>
      <c r="C197" s="0" t="s">
        <v>127</v>
      </c>
      <c r="D197" s="0" t="s">
        <v>553</v>
      </c>
      <c r="E197" s="0" t="s">
        <v>229</v>
      </c>
      <c r="F197" s="0">
        <v>0</v>
      </c>
      <c r="G197" s="0" t="s">
        <v>106</v>
      </c>
      <c r="H197" s="0">
        <v>0</v>
      </c>
      <c r="I197" s="0">
        <v>0</v>
      </c>
      <c r="J197" s="0">
        <v>0</v>
      </c>
      <c r="K197" s="0">
        <v>0</v>
      </c>
      <c r="L197" s="0">
        <v>0</v>
      </c>
      <c r="M197" s="0">
        <v>0</v>
      </c>
      <c r="N197" s="0" t="b">
        <v>0</v>
      </c>
      <c r="O197" s="2">
        <v>44613.583333333336</v>
      </c>
      <c r="P197" s="2">
        <v>44613.625</v>
      </c>
      <c r="Q197" s="2">
        <v>44613.208333333336</v>
      </c>
      <c r="R197" s="2">
        <v>44613.25</v>
      </c>
      <c r="S197" s="0">
        <v>60</v>
      </c>
      <c r="T197" s="0">
        <v>12</v>
      </c>
      <c r="U197" s="0">
        <v>39</v>
      </c>
      <c r="V197" s="0">
        <v>152</v>
      </c>
      <c r="W197" s="1">
        <f>=HYPERLINK("10.175.1.14\MWEB.12\BT\EntityDetails.10.175.1.14.MWEB.12.-wins-userde.152.xlsx", "&lt;Detail&gt;")</f>
      </c>
      <c r="X197" s="1">
        <f>=HYPERLINK("10.175.1.14\MWEB.12\BT\MetricGraphs.BT.10.175.1.14.MWEB.12.xlsx", "&lt;Metrics&gt;")</f>
      </c>
      <c r="Y197" s="1">
        <f>=HYPERLINK("10.175.1.14\MWEB.12\BT\FlameGraph.BT.10.175.1.14.MWEB.12.-wins-userde.152.svg", "&lt;FlGraph&gt;")</f>
      </c>
      <c r="Z197" s="1">
        <f>=HYPERLINK("10.175.1.14\MWEB.12\BT\FlameChart.BT.10.175.1.14.MWEB.12.-wins-userde.152.svg", "&lt;FlChart&gt;")</f>
      </c>
      <c r="AA197" s="0" t="s">
        <v>107</v>
      </c>
      <c r="AB197" s="0" t="s">
        <v>108</v>
      </c>
      <c r="AC197" s="0" t="s">
        <v>128</v>
      </c>
      <c r="AD197" s="0" t="s">
        <v>554</v>
      </c>
      <c r="AE197" s="0" t="s">
        <v>109</v>
      </c>
    </row>
    <row r="198">
      <c r="A198" s="0" t="s">
        <v>28</v>
      </c>
      <c r="B198" s="0" t="s">
        <v>30</v>
      </c>
      <c r="C198" s="0" t="s">
        <v>149</v>
      </c>
      <c r="D198" s="0" t="s">
        <v>555</v>
      </c>
      <c r="E198" s="0" t="s">
        <v>229</v>
      </c>
      <c r="F198" s="0">
        <v>0</v>
      </c>
      <c r="G198" s="0" t="s">
        <v>106</v>
      </c>
      <c r="H198" s="0">
        <v>0</v>
      </c>
      <c r="I198" s="0">
        <v>0</v>
      </c>
      <c r="J198" s="0">
        <v>0</v>
      </c>
      <c r="K198" s="0">
        <v>0</v>
      </c>
      <c r="L198" s="0">
        <v>0</v>
      </c>
      <c r="M198" s="0">
        <v>0</v>
      </c>
      <c r="N198" s="0" t="b">
        <v>0</v>
      </c>
      <c r="O198" s="2">
        <v>44613.583333333336</v>
      </c>
      <c r="P198" s="2">
        <v>44613.625</v>
      </c>
      <c r="Q198" s="2">
        <v>44613.208333333336</v>
      </c>
      <c r="R198" s="2">
        <v>44613.25</v>
      </c>
      <c r="S198" s="0">
        <v>60</v>
      </c>
      <c r="T198" s="0">
        <v>12</v>
      </c>
      <c r="U198" s="0">
        <v>50</v>
      </c>
      <c r="V198" s="0">
        <v>779</v>
      </c>
      <c r="W198" s="1">
        <f>=HYPERLINK("10.175.1.14\MWEB.12\BT\EntityDetails.10.175.1.14.MWEB.12.-wins-WEB-IN.779.xlsx", "&lt;Detail&gt;")</f>
      </c>
      <c r="X198" s="1">
        <f>=HYPERLINK("10.175.1.14\MWEB.12\BT\MetricGraphs.BT.10.175.1.14.MWEB.12.xlsx", "&lt;Metrics&gt;")</f>
      </c>
      <c r="Y198" s="1">
        <f>=HYPERLINK("10.175.1.14\MWEB.12\BT\FlameGraph.BT.10.175.1.14.MWEB.12.-wins-WEB-IN.779.svg", "&lt;FlGraph&gt;")</f>
      </c>
      <c r="Z198" s="1">
        <f>=HYPERLINK("10.175.1.14\MWEB.12\BT\FlameChart.BT.10.175.1.14.MWEB.12.-wins-WEB-IN.779.svg", "&lt;FlChart&gt;")</f>
      </c>
      <c r="AA198" s="0" t="s">
        <v>107</v>
      </c>
      <c r="AB198" s="0" t="s">
        <v>108</v>
      </c>
      <c r="AC198" s="0" t="s">
        <v>150</v>
      </c>
      <c r="AD198" s="0" t="s">
        <v>556</v>
      </c>
      <c r="AE198" s="0" t="s">
        <v>109</v>
      </c>
    </row>
    <row r="199">
      <c r="A199" s="0" t="s">
        <v>28</v>
      </c>
      <c r="B199" s="0" t="s">
        <v>30</v>
      </c>
      <c r="C199" s="0" t="s">
        <v>125</v>
      </c>
      <c r="D199" s="0" t="s">
        <v>557</v>
      </c>
      <c r="E199" s="0" t="s">
        <v>558</v>
      </c>
      <c r="F199" s="0">
        <v>0</v>
      </c>
      <c r="G199" s="0" t="s">
        <v>106</v>
      </c>
      <c r="H199" s="0">
        <v>0</v>
      </c>
      <c r="I199" s="0">
        <v>0</v>
      </c>
      <c r="J199" s="0">
        <v>0</v>
      </c>
      <c r="K199" s="0">
        <v>0</v>
      </c>
      <c r="L199" s="0">
        <v>0</v>
      </c>
      <c r="M199" s="0">
        <v>0</v>
      </c>
      <c r="N199" s="0" t="b">
        <v>0</v>
      </c>
      <c r="O199" s="2">
        <v>44613.583333333336</v>
      </c>
      <c r="P199" s="2">
        <v>44613.625</v>
      </c>
      <c r="Q199" s="2">
        <v>44613.208333333336</v>
      </c>
      <c r="R199" s="2">
        <v>44613.25</v>
      </c>
      <c r="S199" s="0">
        <v>60</v>
      </c>
      <c r="T199" s="0">
        <v>12</v>
      </c>
      <c r="U199" s="0">
        <v>42</v>
      </c>
      <c r="V199" s="0">
        <v>151</v>
      </c>
      <c r="W199" s="1">
        <f>=HYPERLINK("10.175.1.14\MWEB.12\BT\EntityDetails.10.175.1.14.MWEB.12._APPDYNAMICS.151.xlsx", "&lt;Detail&gt;")</f>
      </c>
      <c r="X199" s="1">
        <f>=HYPERLINK("10.175.1.14\MWEB.12\BT\MetricGraphs.BT.10.175.1.14.MWEB.12.xlsx", "&lt;Metrics&gt;")</f>
      </c>
      <c r="Y199" s="1">
        <f>=HYPERLINK("10.175.1.14\MWEB.12\BT\FlameGraph.BT.10.175.1.14.MWEB.12._APPDYNAMICS.151.svg", "&lt;FlGraph&gt;")</f>
      </c>
      <c r="Z199" s="1">
        <f>=HYPERLINK("10.175.1.14\MWEB.12\BT\FlameChart.BT.10.175.1.14.MWEB.12._APPDYNAMICS.151.svg", "&lt;FlChart&gt;")</f>
      </c>
      <c r="AA199" s="0" t="s">
        <v>107</v>
      </c>
      <c r="AB199" s="0" t="s">
        <v>108</v>
      </c>
      <c r="AC199" s="0" t="s">
        <v>126</v>
      </c>
      <c r="AD199" s="0" t="s">
        <v>559</v>
      </c>
      <c r="AE199" s="0" t="s">
        <v>109</v>
      </c>
    </row>
    <row r="200">
      <c r="A200" s="0" t="s">
        <v>28</v>
      </c>
      <c r="B200" s="0" t="s">
        <v>30</v>
      </c>
      <c r="C200" s="0" t="s">
        <v>127</v>
      </c>
      <c r="D200" s="0" t="s">
        <v>557</v>
      </c>
      <c r="E200" s="0" t="s">
        <v>558</v>
      </c>
      <c r="F200" s="0">
        <v>0</v>
      </c>
      <c r="G200" s="0" t="s">
        <v>106</v>
      </c>
      <c r="H200" s="0">
        <v>0</v>
      </c>
      <c r="I200" s="0">
        <v>0</v>
      </c>
      <c r="J200" s="0">
        <v>0</v>
      </c>
      <c r="K200" s="0">
        <v>0</v>
      </c>
      <c r="L200" s="0">
        <v>0</v>
      </c>
      <c r="M200" s="0">
        <v>0</v>
      </c>
      <c r="N200" s="0" t="b">
        <v>0</v>
      </c>
      <c r="O200" s="2">
        <v>44613.583333333336</v>
      </c>
      <c r="P200" s="2">
        <v>44613.625</v>
      </c>
      <c r="Q200" s="2">
        <v>44613.208333333336</v>
      </c>
      <c r="R200" s="2">
        <v>44613.25</v>
      </c>
      <c r="S200" s="0">
        <v>60</v>
      </c>
      <c r="T200" s="0">
        <v>12</v>
      </c>
      <c r="U200" s="0">
        <v>39</v>
      </c>
      <c r="V200" s="0">
        <v>96</v>
      </c>
      <c r="W200" s="1">
        <f>=HYPERLINK("10.175.1.14\MWEB.12\BT\EntityDetails.10.175.1.14.MWEB.12._APPDYNAMICS.96.xlsx", "&lt;Detail&gt;")</f>
      </c>
      <c r="X200" s="1">
        <f>=HYPERLINK("10.175.1.14\MWEB.12\BT\MetricGraphs.BT.10.175.1.14.MWEB.12.xlsx", "&lt;Metrics&gt;")</f>
      </c>
      <c r="Y200" s="1">
        <f>=HYPERLINK("10.175.1.14\MWEB.12\BT\FlameGraph.BT.10.175.1.14.MWEB.12._APPDYNAMICS.96.svg", "&lt;FlGraph&gt;")</f>
      </c>
      <c r="Z200" s="1">
        <f>=HYPERLINK("10.175.1.14\MWEB.12\BT\FlameChart.BT.10.175.1.14.MWEB.12._APPDYNAMICS.96.svg", "&lt;FlChart&gt;")</f>
      </c>
      <c r="AA200" s="0" t="s">
        <v>107</v>
      </c>
      <c r="AB200" s="0" t="s">
        <v>108</v>
      </c>
      <c r="AC200" s="0" t="s">
        <v>128</v>
      </c>
      <c r="AD200" s="0" t="s">
        <v>560</v>
      </c>
      <c r="AE200" s="0" t="s">
        <v>109</v>
      </c>
    </row>
    <row r="201">
      <c r="A201" s="0" t="s">
        <v>28</v>
      </c>
      <c r="B201" s="0" t="s">
        <v>30</v>
      </c>
      <c r="C201" s="0" t="s">
        <v>129</v>
      </c>
      <c r="D201" s="0" t="s">
        <v>557</v>
      </c>
      <c r="E201" s="0" t="s">
        <v>558</v>
      </c>
      <c r="F201" s="0">
        <v>0</v>
      </c>
      <c r="G201" s="0" t="s">
        <v>106</v>
      </c>
      <c r="H201" s="0">
        <v>0</v>
      </c>
      <c r="I201" s="0">
        <v>0</v>
      </c>
      <c r="J201" s="0">
        <v>0</v>
      </c>
      <c r="K201" s="0">
        <v>0</v>
      </c>
      <c r="L201" s="0">
        <v>0</v>
      </c>
      <c r="M201" s="0">
        <v>0</v>
      </c>
      <c r="N201" s="0" t="b">
        <v>0</v>
      </c>
      <c r="O201" s="2">
        <v>44613.583333333336</v>
      </c>
      <c r="P201" s="2">
        <v>44613.625</v>
      </c>
      <c r="Q201" s="2">
        <v>44613.208333333336</v>
      </c>
      <c r="R201" s="2">
        <v>44613.25</v>
      </c>
      <c r="S201" s="0">
        <v>60</v>
      </c>
      <c r="T201" s="0">
        <v>12</v>
      </c>
      <c r="U201" s="0">
        <v>41</v>
      </c>
      <c r="V201" s="0">
        <v>282</v>
      </c>
      <c r="W201" s="1">
        <f>=HYPERLINK("10.175.1.14\MWEB.12\BT\EntityDetails.10.175.1.14.MWEB.12._APPDYNAMICS.282.xlsx", "&lt;Detail&gt;")</f>
      </c>
      <c r="X201" s="1">
        <f>=HYPERLINK("10.175.1.14\MWEB.12\BT\MetricGraphs.BT.10.175.1.14.MWEB.12.xlsx", "&lt;Metrics&gt;")</f>
      </c>
      <c r="Y201" s="1">
        <f>=HYPERLINK("10.175.1.14\MWEB.12\BT\FlameGraph.BT.10.175.1.14.MWEB.12._APPDYNAMICS.282.svg", "&lt;FlGraph&gt;")</f>
      </c>
      <c r="Z201" s="1">
        <f>=HYPERLINK("10.175.1.14\MWEB.12\BT\FlameChart.BT.10.175.1.14.MWEB.12._APPDYNAMICS.282.svg", "&lt;FlChart&gt;")</f>
      </c>
      <c r="AA201" s="0" t="s">
        <v>107</v>
      </c>
      <c r="AB201" s="0" t="s">
        <v>108</v>
      </c>
      <c r="AC201" s="0" t="s">
        <v>130</v>
      </c>
      <c r="AD201" s="0" t="s">
        <v>561</v>
      </c>
      <c r="AE201" s="0" t="s">
        <v>109</v>
      </c>
    </row>
    <row r="202">
      <c r="A202" s="0" t="s">
        <v>28</v>
      </c>
      <c r="B202" s="0" t="s">
        <v>30</v>
      </c>
      <c r="C202" s="0" t="s">
        <v>131</v>
      </c>
      <c r="D202" s="0" t="s">
        <v>557</v>
      </c>
      <c r="E202" s="0" t="s">
        <v>558</v>
      </c>
      <c r="F202" s="0">
        <v>0</v>
      </c>
      <c r="G202" s="0" t="s">
        <v>106</v>
      </c>
      <c r="H202" s="0">
        <v>0</v>
      </c>
      <c r="I202" s="0">
        <v>0</v>
      </c>
      <c r="J202" s="0">
        <v>0</v>
      </c>
      <c r="K202" s="0">
        <v>0</v>
      </c>
      <c r="L202" s="0">
        <v>0</v>
      </c>
      <c r="M202" s="0">
        <v>0</v>
      </c>
      <c r="N202" s="0" t="b">
        <v>0</v>
      </c>
      <c r="O202" s="2">
        <v>44613.583333333336</v>
      </c>
      <c r="P202" s="2">
        <v>44613.625</v>
      </c>
      <c r="Q202" s="2">
        <v>44613.208333333336</v>
      </c>
      <c r="R202" s="2">
        <v>44613.25</v>
      </c>
      <c r="S202" s="0">
        <v>60</v>
      </c>
      <c r="T202" s="0">
        <v>12</v>
      </c>
      <c r="U202" s="0">
        <v>40</v>
      </c>
      <c r="V202" s="0">
        <v>276</v>
      </c>
      <c r="W202" s="1">
        <f>=HYPERLINK("10.175.1.14\MWEB.12\BT\EntityDetails.10.175.1.14.MWEB.12._APPDYNAMICS.276.xlsx", "&lt;Detail&gt;")</f>
      </c>
      <c r="X202" s="1">
        <f>=HYPERLINK("10.175.1.14\MWEB.12\BT\MetricGraphs.BT.10.175.1.14.MWEB.12.xlsx", "&lt;Metrics&gt;")</f>
      </c>
      <c r="Y202" s="1">
        <f>=HYPERLINK("10.175.1.14\MWEB.12\BT\FlameGraph.BT.10.175.1.14.MWEB.12._APPDYNAMICS.276.svg", "&lt;FlGraph&gt;")</f>
      </c>
      <c r="Z202" s="1">
        <f>=HYPERLINK("10.175.1.14\MWEB.12\BT\FlameChart.BT.10.175.1.14.MWEB.12._APPDYNAMICS.276.svg", "&lt;FlChart&gt;")</f>
      </c>
      <c r="AA202" s="0" t="s">
        <v>107</v>
      </c>
      <c r="AB202" s="0" t="s">
        <v>108</v>
      </c>
      <c r="AC202" s="0" t="s">
        <v>132</v>
      </c>
      <c r="AD202" s="0" t="s">
        <v>562</v>
      </c>
      <c r="AE202" s="0" t="s">
        <v>109</v>
      </c>
    </row>
    <row r="203">
      <c r="A203" s="0" t="s">
        <v>28</v>
      </c>
      <c r="B203" s="0" t="s">
        <v>30</v>
      </c>
      <c r="C203" s="0" t="s">
        <v>133</v>
      </c>
      <c r="D203" s="0" t="s">
        <v>557</v>
      </c>
      <c r="E203" s="0" t="s">
        <v>558</v>
      </c>
      <c r="F203" s="0">
        <v>0</v>
      </c>
      <c r="G203" s="0" t="s">
        <v>106</v>
      </c>
      <c r="H203" s="0">
        <v>0</v>
      </c>
      <c r="I203" s="0">
        <v>0</v>
      </c>
      <c r="J203" s="0">
        <v>0</v>
      </c>
      <c r="K203" s="0">
        <v>0</v>
      </c>
      <c r="L203" s="0">
        <v>0</v>
      </c>
      <c r="M203" s="0">
        <v>0</v>
      </c>
      <c r="N203" s="0" t="b">
        <v>0</v>
      </c>
      <c r="O203" s="2">
        <v>44613.583333333336</v>
      </c>
      <c r="P203" s="2">
        <v>44613.625</v>
      </c>
      <c r="Q203" s="2">
        <v>44613.208333333336</v>
      </c>
      <c r="R203" s="2">
        <v>44613.25</v>
      </c>
      <c r="S203" s="0">
        <v>60</v>
      </c>
      <c r="T203" s="0">
        <v>12</v>
      </c>
      <c r="U203" s="0">
        <v>36</v>
      </c>
      <c r="V203" s="0">
        <v>143</v>
      </c>
      <c r="W203" s="1">
        <f>=HYPERLINK("10.175.1.14\MWEB.12\BT\EntityDetails.10.175.1.14.MWEB.12._APPDYNAMICS.143.xlsx", "&lt;Detail&gt;")</f>
      </c>
      <c r="X203" s="1">
        <f>=HYPERLINK("10.175.1.14\MWEB.12\BT\MetricGraphs.BT.10.175.1.14.MWEB.12.xlsx", "&lt;Metrics&gt;")</f>
      </c>
      <c r="Y203" s="1">
        <f>=HYPERLINK("10.175.1.14\MWEB.12\BT\FlameGraph.BT.10.175.1.14.MWEB.12._APPDYNAMICS.143.svg", "&lt;FlGraph&gt;")</f>
      </c>
      <c r="Z203" s="1">
        <f>=HYPERLINK("10.175.1.14\MWEB.12\BT\FlameChart.BT.10.175.1.14.MWEB.12._APPDYNAMICS.143.svg", "&lt;FlChart&gt;")</f>
      </c>
      <c r="AA203" s="0" t="s">
        <v>107</v>
      </c>
      <c r="AB203" s="0" t="s">
        <v>108</v>
      </c>
      <c r="AC203" s="0" t="s">
        <v>134</v>
      </c>
      <c r="AD203" s="0" t="s">
        <v>563</v>
      </c>
      <c r="AE203" s="0" t="s">
        <v>109</v>
      </c>
    </row>
    <row r="204">
      <c r="A204" s="0" t="s">
        <v>28</v>
      </c>
      <c r="B204" s="0" t="s">
        <v>30</v>
      </c>
      <c r="C204" s="0" t="s">
        <v>135</v>
      </c>
      <c r="D204" s="0" t="s">
        <v>557</v>
      </c>
      <c r="E204" s="0" t="s">
        <v>558</v>
      </c>
      <c r="F204" s="0">
        <v>0</v>
      </c>
      <c r="G204" s="0" t="s">
        <v>106</v>
      </c>
      <c r="H204" s="0">
        <v>0</v>
      </c>
      <c r="I204" s="0">
        <v>0</v>
      </c>
      <c r="J204" s="0">
        <v>0</v>
      </c>
      <c r="K204" s="0">
        <v>0</v>
      </c>
      <c r="L204" s="0">
        <v>0</v>
      </c>
      <c r="M204" s="0">
        <v>0</v>
      </c>
      <c r="N204" s="0" t="b">
        <v>0</v>
      </c>
      <c r="O204" s="2">
        <v>44613.583333333336</v>
      </c>
      <c r="P204" s="2">
        <v>44613.625</v>
      </c>
      <c r="Q204" s="2">
        <v>44613.208333333336</v>
      </c>
      <c r="R204" s="2">
        <v>44613.25</v>
      </c>
      <c r="S204" s="0">
        <v>60</v>
      </c>
      <c r="T204" s="0">
        <v>12</v>
      </c>
      <c r="U204" s="0">
        <v>37</v>
      </c>
      <c r="V204" s="0">
        <v>200</v>
      </c>
      <c r="W204" s="1">
        <f>=HYPERLINK("10.175.1.14\MWEB.12\BT\EntityDetails.10.175.1.14.MWEB.12._APPDYNAMICS.200.xlsx", "&lt;Detail&gt;")</f>
      </c>
      <c r="X204" s="1">
        <f>=HYPERLINK("10.175.1.14\MWEB.12\BT\MetricGraphs.BT.10.175.1.14.MWEB.12.xlsx", "&lt;Metrics&gt;")</f>
      </c>
      <c r="Y204" s="1">
        <f>=HYPERLINK("10.175.1.14\MWEB.12\BT\FlameGraph.BT.10.175.1.14.MWEB.12._APPDYNAMICS.200.svg", "&lt;FlGraph&gt;")</f>
      </c>
      <c r="Z204" s="1">
        <f>=HYPERLINK("10.175.1.14\MWEB.12\BT\FlameChart.BT.10.175.1.14.MWEB.12._APPDYNAMICS.200.svg", "&lt;FlChart&gt;")</f>
      </c>
      <c r="AA204" s="0" t="s">
        <v>107</v>
      </c>
      <c r="AB204" s="0" t="s">
        <v>108</v>
      </c>
      <c r="AC204" s="0" t="s">
        <v>136</v>
      </c>
      <c r="AD204" s="0" t="s">
        <v>564</v>
      </c>
      <c r="AE204" s="0" t="s">
        <v>109</v>
      </c>
    </row>
    <row r="205">
      <c r="A205" s="0" t="s">
        <v>28</v>
      </c>
      <c r="B205" s="0" t="s">
        <v>30</v>
      </c>
      <c r="C205" s="0" t="s">
        <v>137</v>
      </c>
      <c r="D205" s="0" t="s">
        <v>557</v>
      </c>
      <c r="E205" s="0" t="s">
        <v>558</v>
      </c>
      <c r="F205" s="0">
        <v>0</v>
      </c>
      <c r="G205" s="0" t="s">
        <v>106</v>
      </c>
      <c r="H205" s="0">
        <v>0</v>
      </c>
      <c r="I205" s="0">
        <v>0</v>
      </c>
      <c r="J205" s="0">
        <v>0</v>
      </c>
      <c r="K205" s="0">
        <v>0</v>
      </c>
      <c r="L205" s="0">
        <v>0</v>
      </c>
      <c r="M205" s="0">
        <v>0</v>
      </c>
      <c r="N205" s="0" t="b">
        <v>0</v>
      </c>
      <c r="O205" s="2">
        <v>44613.583333333336</v>
      </c>
      <c r="P205" s="2">
        <v>44613.625</v>
      </c>
      <c r="Q205" s="2">
        <v>44613.208333333336</v>
      </c>
      <c r="R205" s="2">
        <v>44613.25</v>
      </c>
      <c r="S205" s="0">
        <v>60</v>
      </c>
      <c r="T205" s="0">
        <v>12</v>
      </c>
      <c r="U205" s="0">
        <v>38</v>
      </c>
      <c r="V205" s="0">
        <v>201</v>
      </c>
      <c r="W205" s="1">
        <f>=HYPERLINK("10.175.1.14\MWEB.12\BT\EntityDetails.10.175.1.14.MWEB.12._APPDYNAMICS.201.xlsx", "&lt;Detail&gt;")</f>
      </c>
      <c r="X205" s="1">
        <f>=HYPERLINK("10.175.1.14\MWEB.12\BT\MetricGraphs.BT.10.175.1.14.MWEB.12.xlsx", "&lt;Metrics&gt;")</f>
      </c>
      <c r="Y205" s="1">
        <f>=HYPERLINK("10.175.1.14\MWEB.12\BT\FlameGraph.BT.10.175.1.14.MWEB.12._APPDYNAMICS.201.svg", "&lt;FlGraph&gt;")</f>
      </c>
      <c r="Z205" s="1">
        <f>=HYPERLINK("10.175.1.14\MWEB.12\BT\FlameChart.BT.10.175.1.14.MWEB.12._APPDYNAMICS.201.svg", "&lt;FlChart&gt;")</f>
      </c>
      <c r="AA205" s="0" t="s">
        <v>107</v>
      </c>
      <c r="AB205" s="0" t="s">
        <v>108</v>
      </c>
      <c r="AC205" s="0" t="s">
        <v>138</v>
      </c>
      <c r="AD205" s="0" t="s">
        <v>565</v>
      </c>
      <c r="AE205" s="0" t="s">
        <v>109</v>
      </c>
    </row>
    <row r="206">
      <c r="A206" s="0" t="s">
        <v>28</v>
      </c>
      <c r="B206" s="0" t="s">
        <v>30</v>
      </c>
      <c r="C206" s="0" t="s">
        <v>139</v>
      </c>
      <c r="D206" s="0" t="s">
        <v>557</v>
      </c>
      <c r="E206" s="0" t="s">
        <v>558</v>
      </c>
      <c r="F206" s="0">
        <v>0</v>
      </c>
      <c r="G206" s="0" t="s">
        <v>106</v>
      </c>
      <c r="H206" s="0">
        <v>0</v>
      </c>
      <c r="I206" s="0">
        <v>0</v>
      </c>
      <c r="J206" s="0">
        <v>0</v>
      </c>
      <c r="K206" s="0">
        <v>0</v>
      </c>
      <c r="L206" s="0">
        <v>0</v>
      </c>
      <c r="M206" s="0">
        <v>0</v>
      </c>
      <c r="N206" s="0" t="b">
        <v>0</v>
      </c>
      <c r="O206" s="2">
        <v>44613.583333333336</v>
      </c>
      <c r="P206" s="2">
        <v>44613.625</v>
      </c>
      <c r="Q206" s="2">
        <v>44613.208333333336</v>
      </c>
      <c r="R206" s="2">
        <v>44613.25</v>
      </c>
      <c r="S206" s="0">
        <v>60</v>
      </c>
      <c r="T206" s="0">
        <v>12</v>
      </c>
      <c r="U206" s="0">
        <v>35</v>
      </c>
      <c r="V206" s="0">
        <v>90</v>
      </c>
      <c r="W206" s="1">
        <f>=HYPERLINK("10.175.1.14\MWEB.12\BT\EntityDetails.10.175.1.14.MWEB.12._APPDYNAMICS.90.xlsx", "&lt;Detail&gt;")</f>
      </c>
      <c r="X206" s="1">
        <f>=HYPERLINK("10.175.1.14\MWEB.12\BT\MetricGraphs.BT.10.175.1.14.MWEB.12.xlsx", "&lt;Metrics&gt;")</f>
      </c>
      <c r="Y206" s="1">
        <f>=HYPERLINK("10.175.1.14\MWEB.12\BT\FlameGraph.BT.10.175.1.14.MWEB.12._APPDYNAMICS.90.svg", "&lt;FlGraph&gt;")</f>
      </c>
      <c r="Z206" s="1">
        <f>=HYPERLINK("10.175.1.14\MWEB.12\BT\FlameChart.BT.10.175.1.14.MWEB.12._APPDYNAMICS.90.svg", "&lt;FlChart&gt;")</f>
      </c>
      <c r="AA206" s="0" t="s">
        <v>107</v>
      </c>
      <c r="AB206" s="0" t="s">
        <v>108</v>
      </c>
      <c r="AC206" s="0" t="s">
        <v>142</v>
      </c>
      <c r="AD206" s="0" t="s">
        <v>566</v>
      </c>
      <c r="AE206" s="0" t="s">
        <v>109</v>
      </c>
    </row>
    <row r="207">
      <c r="A207" s="0" t="s">
        <v>28</v>
      </c>
      <c r="B207" s="0" t="s">
        <v>30</v>
      </c>
      <c r="C207" s="0" t="s">
        <v>139</v>
      </c>
      <c r="D207" s="0" t="s">
        <v>557</v>
      </c>
      <c r="E207" s="0" t="s">
        <v>558</v>
      </c>
      <c r="F207" s="0">
        <v>0</v>
      </c>
      <c r="G207" s="0" t="s">
        <v>106</v>
      </c>
      <c r="H207" s="0">
        <v>0</v>
      </c>
      <c r="I207" s="0">
        <v>0</v>
      </c>
      <c r="J207" s="0">
        <v>0</v>
      </c>
      <c r="K207" s="0">
        <v>0</v>
      </c>
      <c r="L207" s="0">
        <v>0</v>
      </c>
      <c r="M207" s="0">
        <v>0</v>
      </c>
      <c r="N207" s="0" t="b">
        <v>0</v>
      </c>
      <c r="O207" s="2">
        <v>44613.583333333336</v>
      </c>
      <c r="P207" s="2">
        <v>44613.625</v>
      </c>
      <c r="Q207" s="2">
        <v>44613.208333333336</v>
      </c>
      <c r="R207" s="2">
        <v>44613.25</v>
      </c>
      <c r="S207" s="0">
        <v>60</v>
      </c>
      <c r="T207" s="0">
        <v>12</v>
      </c>
      <c r="U207" s="0">
        <v>35</v>
      </c>
      <c r="V207" s="0">
        <v>433</v>
      </c>
      <c r="W207" s="1">
        <f>=HYPERLINK("10.175.1.14\MWEB.12\BT\EntityDetails.10.175.1.14.MWEB.12._APPDYNAMICS.433.xlsx", "&lt;Detail&gt;")</f>
      </c>
      <c r="X207" s="1">
        <f>=HYPERLINK("10.175.1.14\MWEB.12\BT\MetricGraphs.BT.10.175.1.14.MWEB.12.xlsx", "&lt;Metrics&gt;")</f>
      </c>
      <c r="Y207" s="1">
        <f>=HYPERLINK("10.175.1.14\MWEB.12\BT\FlameGraph.BT.10.175.1.14.MWEB.12._APPDYNAMICS.433.svg", "&lt;FlGraph&gt;")</f>
      </c>
      <c r="Z207" s="1">
        <f>=HYPERLINK("10.175.1.14\MWEB.12\BT\FlameChart.BT.10.175.1.14.MWEB.12._APPDYNAMICS.433.svg", "&lt;FlChart&gt;")</f>
      </c>
      <c r="AA207" s="0" t="s">
        <v>107</v>
      </c>
      <c r="AB207" s="0" t="s">
        <v>108</v>
      </c>
      <c r="AC207" s="0" t="s">
        <v>142</v>
      </c>
      <c r="AD207" s="0" t="s">
        <v>567</v>
      </c>
      <c r="AE207" s="0" t="s">
        <v>109</v>
      </c>
    </row>
    <row r="208">
      <c r="A208" s="0" t="s">
        <v>28</v>
      </c>
      <c r="B208" s="0" t="s">
        <v>30</v>
      </c>
      <c r="C208" s="0" t="s">
        <v>143</v>
      </c>
      <c r="D208" s="0" t="s">
        <v>557</v>
      </c>
      <c r="E208" s="0" t="s">
        <v>558</v>
      </c>
      <c r="F208" s="0">
        <v>0</v>
      </c>
      <c r="G208" s="0" t="s">
        <v>106</v>
      </c>
      <c r="H208" s="0">
        <v>0</v>
      </c>
      <c r="I208" s="0">
        <v>0</v>
      </c>
      <c r="J208" s="0">
        <v>0</v>
      </c>
      <c r="K208" s="0">
        <v>0</v>
      </c>
      <c r="L208" s="0">
        <v>0</v>
      </c>
      <c r="M208" s="0">
        <v>0</v>
      </c>
      <c r="N208" s="0" t="b">
        <v>0</v>
      </c>
      <c r="O208" s="2">
        <v>44613.583333333336</v>
      </c>
      <c r="P208" s="2">
        <v>44613.625</v>
      </c>
      <c r="Q208" s="2">
        <v>44613.208333333336</v>
      </c>
      <c r="R208" s="2">
        <v>44613.25</v>
      </c>
      <c r="S208" s="0">
        <v>60</v>
      </c>
      <c r="T208" s="0">
        <v>12</v>
      </c>
      <c r="U208" s="0">
        <v>43</v>
      </c>
      <c r="V208" s="0">
        <v>582</v>
      </c>
      <c r="W208" s="1">
        <f>=HYPERLINK("10.175.1.14\MWEB.12\BT\EntityDetails.10.175.1.14.MWEB.12._APPDYNAMICS.582.xlsx", "&lt;Detail&gt;")</f>
      </c>
      <c r="X208" s="1">
        <f>=HYPERLINK("10.175.1.14\MWEB.12\BT\MetricGraphs.BT.10.175.1.14.MWEB.12.xlsx", "&lt;Metrics&gt;")</f>
      </c>
      <c r="Y208" s="1">
        <f>=HYPERLINK("10.175.1.14\MWEB.12\BT\FlameGraph.BT.10.175.1.14.MWEB.12._APPDYNAMICS.582.svg", "&lt;FlGraph&gt;")</f>
      </c>
      <c r="Z208" s="1">
        <f>=HYPERLINK("10.175.1.14\MWEB.12\BT\FlameChart.BT.10.175.1.14.MWEB.12._APPDYNAMICS.582.svg", "&lt;FlChart&gt;")</f>
      </c>
      <c r="AA208" s="0" t="s">
        <v>107</v>
      </c>
      <c r="AB208" s="0" t="s">
        <v>108</v>
      </c>
      <c r="AC208" s="0" t="s">
        <v>144</v>
      </c>
      <c r="AD208" s="0" t="s">
        <v>568</v>
      </c>
      <c r="AE208" s="0" t="s">
        <v>109</v>
      </c>
    </row>
    <row r="209">
      <c r="A209" s="0" t="s">
        <v>28</v>
      </c>
      <c r="B209" s="0" t="s">
        <v>30</v>
      </c>
      <c r="C209" s="0" t="s">
        <v>147</v>
      </c>
      <c r="D209" s="0" t="s">
        <v>557</v>
      </c>
      <c r="E209" s="0" t="s">
        <v>558</v>
      </c>
      <c r="F209" s="0">
        <v>0</v>
      </c>
      <c r="G209" s="0" t="s">
        <v>106</v>
      </c>
      <c r="H209" s="0">
        <v>0</v>
      </c>
      <c r="I209" s="0">
        <v>0</v>
      </c>
      <c r="J209" s="0">
        <v>0</v>
      </c>
      <c r="K209" s="0">
        <v>0</v>
      </c>
      <c r="L209" s="0">
        <v>0</v>
      </c>
      <c r="M209" s="0">
        <v>0</v>
      </c>
      <c r="N209" s="0" t="b">
        <v>0</v>
      </c>
      <c r="O209" s="2">
        <v>44613.583333333336</v>
      </c>
      <c r="P209" s="2">
        <v>44613.625</v>
      </c>
      <c r="Q209" s="2">
        <v>44613.208333333336</v>
      </c>
      <c r="R209" s="2">
        <v>44613.25</v>
      </c>
      <c r="S209" s="0">
        <v>60</v>
      </c>
      <c r="T209" s="0">
        <v>12</v>
      </c>
      <c r="U209" s="0">
        <v>49</v>
      </c>
      <c r="V209" s="0">
        <v>620</v>
      </c>
      <c r="W209" s="1">
        <f>=HYPERLINK("10.175.1.14\MWEB.12\BT\EntityDetails.10.175.1.14.MWEB.12._APPDYNAMICS.620.xlsx", "&lt;Detail&gt;")</f>
      </c>
      <c r="X209" s="1">
        <f>=HYPERLINK("10.175.1.14\MWEB.12\BT\MetricGraphs.BT.10.175.1.14.MWEB.12.xlsx", "&lt;Metrics&gt;")</f>
      </c>
      <c r="Y209" s="1">
        <f>=HYPERLINK("10.175.1.14\MWEB.12\BT\FlameGraph.BT.10.175.1.14.MWEB.12._APPDYNAMICS.620.svg", "&lt;FlGraph&gt;")</f>
      </c>
      <c r="Z209" s="1">
        <f>=HYPERLINK("10.175.1.14\MWEB.12\BT\FlameChart.BT.10.175.1.14.MWEB.12._APPDYNAMICS.620.svg", "&lt;FlChart&gt;")</f>
      </c>
      <c r="AA209" s="0" t="s">
        <v>107</v>
      </c>
      <c r="AB209" s="0" t="s">
        <v>108</v>
      </c>
      <c r="AC209" s="0" t="s">
        <v>148</v>
      </c>
      <c r="AD209" s="0" t="s">
        <v>569</v>
      </c>
      <c r="AE209" s="0" t="s">
        <v>109</v>
      </c>
    </row>
    <row r="210">
      <c r="A210" s="0" t="s">
        <v>28</v>
      </c>
      <c r="B210" s="0" t="s">
        <v>30</v>
      </c>
      <c r="C210" s="0" t="s">
        <v>149</v>
      </c>
      <c r="D210" s="0" t="s">
        <v>557</v>
      </c>
      <c r="E210" s="0" t="s">
        <v>558</v>
      </c>
      <c r="F210" s="0">
        <v>0</v>
      </c>
      <c r="G210" s="0" t="s">
        <v>106</v>
      </c>
      <c r="H210" s="0">
        <v>0</v>
      </c>
      <c r="I210" s="0">
        <v>0</v>
      </c>
      <c r="J210" s="0">
        <v>0</v>
      </c>
      <c r="K210" s="0">
        <v>0</v>
      </c>
      <c r="L210" s="0">
        <v>0</v>
      </c>
      <c r="M210" s="0">
        <v>0</v>
      </c>
      <c r="N210" s="0" t="b">
        <v>0</v>
      </c>
      <c r="O210" s="2">
        <v>44613.583333333336</v>
      </c>
      <c r="P210" s="2">
        <v>44613.625</v>
      </c>
      <c r="Q210" s="2">
        <v>44613.208333333336</v>
      </c>
      <c r="R210" s="2">
        <v>44613.25</v>
      </c>
      <c r="S210" s="0">
        <v>60</v>
      </c>
      <c r="T210" s="0">
        <v>12</v>
      </c>
      <c r="U210" s="0">
        <v>50</v>
      </c>
      <c r="V210" s="0">
        <v>621</v>
      </c>
      <c r="W210" s="1">
        <f>=HYPERLINK("10.175.1.14\MWEB.12\BT\EntityDetails.10.175.1.14.MWEB.12._APPDYNAMICS.621.xlsx", "&lt;Detail&gt;")</f>
      </c>
      <c r="X210" s="1">
        <f>=HYPERLINK("10.175.1.14\MWEB.12\BT\MetricGraphs.BT.10.175.1.14.MWEB.12.xlsx", "&lt;Metrics&gt;")</f>
      </c>
      <c r="Y210" s="1">
        <f>=HYPERLINK("10.175.1.14\MWEB.12\BT\FlameGraph.BT.10.175.1.14.MWEB.12._APPDYNAMICS.621.svg", "&lt;FlGraph&gt;")</f>
      </c>
      <c r="Z210" s="1">
        <f>=HYPERLINK("10.175.1.14\MWEB.12\BT\FlameChart.BT.10.175.1.14.MWEB.12._APPDYNAMICS.621.svg", "&lt;FlChart&gt;")</f>
      </c>
      <c r="AA210" s="0" t="s">
        <v>107</v>
      </c>
      <c r="AB210" s="0" t="s">
        <v>108</v>
      </c>
      <c r="AC210" s="0" t="s">
        <v>150</v>
      </c>
      <c r="AD210" s="0" t="s">
        <v>570</v>
      </c>
      <c r="AE210" s="0" t="s">
        <v>109</v>
      </c>
    </row>
    <row r="211">
      <c r="A211" s="0" t="s">
        <v>28</v>
      </c>
      <c r="B211" s="0" t="s">
        <v>30</v>
      </c>
      <c r="C211" s="0" t="s">
        <v>151</v>
      </c>
      <c r="D211" s="0" t="s">
        <v>557</v>
      </c>
      <c r="E211" s="0" t="s">
        <v>558</v>
      </c>
      <c r="F211" s="0">
        <v>0</v>
      </c>
      <c r="G211" s="0" t="s">
        <v>106</v>
      </c>
      <c r="H211" s="0">
        <v>0</v>
      </c>
      <c r="I211" s="0">
        <v>0</v>
      </c>
      <c r="J211" s="0">
        <v>0</v>
      </c>
      <c r="K211" s="0">
        <v>0</v>
      </c>
      <c r="L211" s="0">
        <v>0</v>
      </c>
      <c r="M211" s="0">
        <v>0</v>
      </c>
      <c r="N211" s="0" t="b">
        <v>0</v>
      </c>
      <c r="O211" s="2">
        <v>44613.583333333336</v>
      </c>
      <c r="P211" s="2">
        <v>44613.625</v>
      </c>
      <c r="Q211" s="2">
        <v>44613.208333333336</v>
      </c>
      <c r="R211" s="2">
        <v>44613.25</v>
      </c>
      <c r="S211" s="0">
        <v>60</v>
      </c>
      <c r="T211" s="0">
        <v>12</v>
      </c>
      <c r="U211" s="0">
        <v>52</v>
      </c>
      <c r="V211" s="0">
        <v>623</v>
      </c>
      <c r="W211" s="1">
        <f>=HYPERLINK("10.175.1.14\MWEB.12\BT\EntityDetails.10.175.1.14.MWEB.12._APPDYNAMICS.623.xlsx", "&lt;Detail&gt;")</f>
      </c>
      <c r="X211" s="1">
        <f>=HYPERLINK("10.175.1.14\MWEB.12\BT\MetricGraphs.BT.10.175.1.14.MWEB.12.xlsx", "&lt;Metrics&gt;")</f>
      </c>
      <c r="Y211" s="1">
        <f>=HYPERLINK("10.175.1.14\MWEB.12\BT\FlameGraph.BT.10.175.1.14.MWEB.12._APPDYNAMICS.623.svg", "&lt;FlGraph&gt;")</f>
      </c>
      <c r="Z211" s="1">
        <f>=HYPERLINK("10.175.1.14\MWEB.12\BT\FlameChart.BT.10.175.1.14.MWEB.12._APPDYNAMICS.623.svg", "&lt;FlChart&gt;")</f>
      </c>
      <c r="AA211" s="0" t="s">
        <v>107</v>
      </c>
      <c r="AB211" s="0" t="s">
        <v>108</v>
      </c>
      <c r="AC211" s="0" t="s">
        <v>152</v>
      </c>
      <c r="AD211" s="0" t="s">
        <v>571</v>
      </c>
      <c r="AE211" s="0" t="s">
        <v>109</v>
      </c>
    </row>
    <row r="212">
      <c r="A212" s="0" t="s">
        <v>28</v>
      </c>
      <c r="B212" s="0" t="s">
        <v>30</v>
      </c>
      <c r="C212" s="0" t="s">
        <v>153</v>
      </c>
      <c r="D212" s="0" t="s">
        <v>557</v>
      </c>
      <c r="E212" s="0" t="s">
        <v>558</v>
      </c>
      <c r="F212" s="0">
        <v>0</v>
      </c>
      <c r="G212" s="0" t="s">
        <v>106</v>
      </c>
      <c r="H212" s="0">
        <v>0</v>
      </c>
      <c r="I212" s="0">
        <v>0</v>
      </c>
      <c r="J212" s="0">
        <v>0</v>
      </c>
      <c r="K212" s="0">
        <v>0</v>
      </c>
      <c r="L212" s="0">
        <v>0</v>
      </c>
      <c r="M212" s="0">
        <v>0</v>
      </c>
      <c r="N212" s="0" t="b">
        <v>0</v>
      </c>
      <c r="O212" s="2">
        <v>44613.583333333336</v>
      </c>
      <c r="P212" s="2">
        <v>44613.625</v>
      </c>
      <c r="Q212" s="2">
        <v>44613.208333333336</v>
      </c>
      <c r="R212" s="2">
        <v>44613.25</v>
      </c>
      <c r="S212" s="0">
        <v>60</v>
      </c>
      <c r="T212" s="0">
        <v>12</v>
      </c>
      <c r="U212" s="0">
        <v>51</v>
      </c>
      <c r="V212" s="0">
        <v>622</v>
      </c>
      <c r="W212" s="1">
        <f>=HYPERLINK("10.175.1.14\MWEB.12\BT\EntityDetails.10.175.1.14.MWEB.12._APPDYNAMICS.622.xlsx", "&lt;Detail&gt;")</f>
      </c>
      <c r="X212" s="1">
        <f>=HYPERLINK("10.175.1.14\MWEB.12\BT\MetricGraphs.BT.10.175.1.14.MWEB.12.xlsx", "&lt;Metrics&gt;")</f>
      </c>
      <c r="Y212" s="1">
        <f>=HYPERLINK("10.175.1.14\MWEB.12\BT\FlameGraph.BT.10.175.1.14.MWEB.12._APPDYNAMICS.622.svg", "&lt;FlGraph&gt;")</f>
      </c>
      <c r="Z212" s="1">
        <f>=HYPERLINK("10.175.1.14\MWEB.12\BT\FlameChart.BT.10.175.1.14.MWEB.12._APPDYNAMICS.622.svg", "&lt;FlChart&gt;")</f>
      </c>
      <c r="AA212" s="0" t="s">
        <v>107</v>
      </c>
      <c r="AB212" s="0" t="s">
        <v>108</v>
      </c>
      <c r="AC212" s="0" t="s">
        <v>154</v>
      </c>
      <c r="AD212" s="0" t="s">
        <v>572</v>
      </c>
      <c r="AE212" s="0" t="s">
        <v>109</v>
      </c>
    </row>
    <row r="213">
      <c r="A213" s="0" t="s">
        <v>28</v>
      </c>
      <c r="B213" s="0" t="s">
        <v>30</v>
      </c>
      <c r="C213" s="0" t="s">
        <v>155</v>
      </c>
      <c r="D213" s="0" t="s">
        <v>557</v>
      </c>
      <c r="E213" s="0" t="s">
        <v>558</v>
      </c>
      <c r="F213" s="0">
        <v>0</v>
      </c>
      <c r="G213" s="0" t="s">
        <v>106</v>
      </c>
      <c r="H213" s="0">
        <v>0</v>
      </c>
      <c r="I213" s="0">
        <v>0</v>
      </c>
      <c r="J213" s="0">
        <v>0</v>
      </c>
      <c r="K213" s="0">
        <v>0</v>
      </c>
      <c r="L213" s="0">
        <v>0</v>
      </c>
      <c r="M213" s="0">
        <v>0</v>
      </c>
      <c r="N213" s="0" t="b">
        <v>0</v>
      </c>
      <c r="O213" s="2">
        <v>44613.583333333336</v>
      </c>
      <c r="P213" s="2">
        <v>44613.625</v>
      </c>
      <c r="Q213" s="2">
        <v>44613.208333333336</v>
      </c>
      <c r="R213" s="2">
        <v>44613.25</v>
      </c>
      <c r="S213" s="0">
        <v>60</v>
      </c>
      <c r="T213" s="0">
        <v>12</v>
      </c>
      <c r="U213" s="0">
        <v>54</v>
      </c>
      <c r="V213" s="0">
        <v>627</v>
      </c>
      <c r="W213" s="1">
        <f>=HYPERLINK("10.175.1.14\MWEB.12\BT\EntityDetails.10.175.1.14.MWEB.12._APPDYNAMICS.627.xlsx", "&lt;Detail&gt;")</f>
      </c>
      <c r="X213" s="1">
        <f>=HYPERLINK("10.175.1.14\MWEB.12\BT\MetricGraphs.BT.10.175.1.14.MWEB.12.xlsx", "&lt;Metrics&gt;")</f>
      </c>
      <c r="Y213" s="1">
        <f>=HYPERLINK("10.175.1.14\MWEB.12\BT\FlameGraph.BT.10.175.1.14.MWEB.12._APPDYNAMICS.627.svg", "&lt;FlGraph&gt;")</f>
      </c>
      <c r="Z213" s="1">
        <f>=HYPERLINK("10.175.1.14\MWEB.12\BT\FlameChart.BT.10.175.1.14.MWEB.12._APPDYNAMICS.627.svg", "&lt;FlChart&gt;")</f>
      </c>
      <c r="AA213" s="0" t="s">
        <v>107</v>
      </c>
      <c r="AB213" s="0" t="s">
        <v>108</v>
      </c>
      <c r="AC213" s="0" t="s">
        <v>156</v>
      </c>
      <c r="AD213" s="0" t="s">
        <v>573</v>
      </c>
      <c r="AE213" s="0" t="s">
        <v>109</v>
      </c>
    </row>
    <row r="214">
      <c r="A214" s="0" t="s">
        <v>28</v>
      </c>
      <c r="B214" s="0" t="s">
        <v>30</v>
      </c>
      <c r="C214" s="0" t="s">
        <v>157</v>
      </c>
      <c r="D214" s="0" t="s">
        <v>557</v>
      </c>
      <c r="E214" s="0" t="s">
        <v>558</v>
      </c>
      <c r="F214" s="0">
        <v>0</v>
      </c>
      <c r="G214" s="0" t="s">
        <v>106</v>
      </c>
      <c r="H214" s="0">
        <v>0</v>
      </c>
      <c r="I214" s="0">
        <v>0</v>
      </c>
      <c r="J214" s="0">
        <v>0</v>
      </c>
      <c r="K214" s="0">
        <v>0</v>
      </c>
      <c r="L214" s="0">
        <v>0</v>
      </c>
      <c r="M214" s="0">
        <v>0</v>
      </c>
      <c r="N214" s="0" t="b">
        <v>0</v>
      </c>
      <c r="O214" s="2">
        <v>44613.583333333336</v>
      </c>
      <c r="P214" s="2">
        <v>44613.625</v>
      </c>
      <c r="Q214" s="2">
        <v>44613.208333333336</v>
      </c>
      <c r="R214" s="2">
        <v>44613.25</v>
      </c>
      <c r="S214" s="0">
        <v>60</v>
      </c>
      <c r="T214" s="0">
        <v>12</v>
      </c>
      <c r="U214" s="0">
        <v>53</v>
      </c>
      <c r="V214" s="0">
        <v>624</v>
      </c>
      <c r="W214" s="1">
        <f>=HYPERLINK("10.175.1.14\MWEB.12\BT\EntityDetails.10.175.1.14.MWEB.12._APPDYNAMICS.624.xlsx", "&lt;Detail&gt;")</f>
      </c>
      <c r="X214" s="1">
        <f>=HYPERLINK("10.175.1.14\MWEB.12\BT\MetricGraphs.BT.10.175.1.14.MWEB.12.xlsx", "&lt;Metrics&gt;")</f>
      </c>
      <c r="Y214" s="1">
        <f>=HYPERLINK("10.175.1.14\MWEB.12\BT\FlameGraph.BT.10.175.1.14.MWEB.12._APPDYNAMICS.624.svg", "&lt;FlGraph&gt;")</f>
      </c>
      <c r="Z214" s="1">
        <f>=HYPERLINK("10.175.1.14\MWEB.12\BT\FlameChart.BT.10.175.1.14.MWEB.12._APPDYNAMICS.624.svg", "&lt;FlChart&gt;")</f>
      </c>
      <c r="AA214" s="0" t="s">
        <v>107</v>
      </c>
      <c r="AB214" s="0" t="s">
        <v>108</v>
      </c>
      <c r="AC214" s="0" t="s">
        <v>158</v>
      </c>
      <c r="AD214" s="0" t="s">
        <v>574</v>
      </c>
      <c r="AE214" s="0" t="s">
        <v>109</v>
      </c>
    </row>
    <row r="215">
      <c r="A215" s="0" t="s">
        <v>28</v>
      </c>
      <c r="B215" s="0" t="s">
        <v>30</v>
      </c>
      <c r="C215" s="0" t="s">
        <v>159</v>
      </c>
      <c r="D215" s="0" t="s">
        <v>557</v>
      </c>
      <c r="E215" s="0" t="s">
        <v>558</v>
      </c>
      <c r="F215" s="0">
        <v>0</v>
      </c>
      <c r="G215" s="0" t="s">
        <v>106</v>
      </c>
      <c r="H215" s="0">
        <v>0</v>
      </c>
      <c r="I215" s="0">
        <v>0</v>
      </c>
      <c r="J215" s="0">
        <v>0</v>
      </c>
      <c r="K215" s="0">
        <v>0</v>
      </c>
      <c r="L215" s="0">
        <v>0</v>
      </c>
      <c r="M215" s="0">
        <v>0</v>
      </c>
      <c r="N215" s="0" t="b">
        <v>0</v>
      </c>
      <c r="O215" s="2">
        <v>44613.583333333336</v>
      </c>
      <c r="P215" s="2">
        <v>44613.625</v>
      </c>
      <c r="Q215" s="2">
        <v>44613.208333333336</v>
      </c>
      <c r="R215" s="2">
        <v>44613.25</v>
      </c>
      <c r="S215" s="0">
        <v>60</v>
      </c>
      <c r="T215" s="0">
        <v>12</v>
      </c>
      <c r="U215" s="0">
        <v>56</v>
      </c>
      <c r="V215" s="0">
        <v>626</v>
      </c>
      <c r="W215" s="1">
        <f>=HYPERLINK("10.175.1.14\MWEB.12\BT\EntityDetails.10.175.1.14.MWEB.12._APPDYNAMICS.626.xlsx", "&lt;Detail&gt;")</f>
      </c>
      <c r="X215" s="1">
        <f>=HYPERLINK("10.175.1.14\MWEB.12\BT\MetricGraphs.BT.10.175.1.14.MWEB.12.xlsx", "&lt;Metrics&gt;")</f>
      </c>
      <c r="Y215" s="1">
        <f>=HYPERLINK("10.175.1.14\MWEB.12\BT\FlameGraph.BT.10.175.1.14.MWEB.12._APPDYNAMICS.626.svg", "&lt;FlGraph&gt;")</f>
      </c>
      <c r="Z215" s="1">
        <f>=HYPERLINK("10.175.1.14\MWEB.12\BT\FlameChart.BT.10.175.1.14.MWEB.12._APPDYNAMICS.626.svg", "&lt;FlChart&gt;")</f>
      </c>
      <c r="AA215" s="0" t="s">
        <v>107</v>
      </c>
      <c r="AB215" s="0" t="s">
        <v>108</v>
      </c>
      <c r="AC215" s="0" t="s">
        <v>160</v>
      </c>
      <c r="AD215" s="0" t="s">
        <v>575</v>
      </c>
      <c r="AE215" s="0" t="s">
        <v>109</v>
      </c>
    </row>
    <row r="216">
      <c r="A216" s="0" t="s">
        <v>28</v>
      </c>
      <c r="B216" s="0" t="s">
        <v>30</v>
      </c>
      <c r="C216" s="0" t="s">
        <v>161</v>
      </c>
      <c r="D216" s="0" t="s">
        <v>557</v>
      </c>
      <c r="E216" s="0" t="s">
        <v>558</v>
      </c>
      <c r="F216" s="0">
        <v>0</v>
      </c>
      <c r="G216" s="0" t="s">
        <v>106</v>
      </c>
      <c r="H216" s="0">
        <v>0</v>
      </c>
      <c r="I216" s="0">
        <v>0</v>
      </c>
      <c r="J216" s="0">
        <v>0</v>
      </c>
      <c r="K216" s="0">
        <v>0</v>
      </c>
      <c r="L216" s="0">
        <v>0</v>
      </c>
      <c r="M216" s="0">
        <v>0</v>
      </c>
      <c r="N216" s="0" t="b">
        <v>0</v>
      </c>
      <c r="O216" s="2">
        <v>44613.583333333336</v>
      </c>
      <c r="P216" s="2">
        <v>44613.625</v>
      </c>
      <c r="Q216" s="2">
        <v>44613.208333333336</v>
      </c>
      <c r="R216" s="2">
        <v>44613.25</v>
      </c>
      <c r="S216" s="0">
        <v>60</v>
      </c>
      <c r="T216" s="0">
        <v>12</v>
      </c>
      <c r="U216" s="0">
        <v>48</v>
      </c>
      <c r="V216" s="0">
        <v>618</v>
      </c>
      <c r="W216" s="1">
        <f>=HYPERLINK("10.175.1.14\MWEB.12\BT\EntityDetails.10.175.1.14.MWEB.12._APPDYNAMICS.618.xlsx", "&lt;Detail&gt;")</f>
      </c>
      <c r="X216" s="1">
        <f>=HYPERLINK("10.175.1.14\MWEB.12\BT\MetricGraphs.BT.10.175.1.14.MWEB.12.xlsx", "&lt;Metrics&gt;")</f>
      </c>
      <c r="Y216" s="1">
        <f>=HYPERLINK("10.175.1.14\MWEB.12\BT\FlameGraph.BT.10.175.1.14.MWEB.12._APPDYNAMICS.618.svg", "&lt;FlGraph&gt;")</f>
      </c>
      <c r="Z216" s="1">
        <f>=HYPERLINK("10.175.1.14\MWEB.12\BT\FlameChart.BT.10.175.1.14.MWEB.12._APPDYNAMICS.618.svg", "&lt;FlChart&gt;")</f>
      </c>
      <c r="AA216" s="0" t="s">
        <v>107</v>
      </c>
      <c r="AB216" s="0" t="s">
        <v>108</v>
      </c>
      <c r="AC216" s="0" t="s">
        <v>162</v>
      </c>
      <c r="AD216" s="0" t="s">
        <v>576</v>
      </c>
      <c r="AE216" s="0" t="s">
        <v>109</v>
      </c>
    </row>
    <row r="217">
      <c r="A217" s="0" t="s">
        <v>28</v>
      </c>
      <c r="B217" s="0" t="s">
        <v>30</v>
      </c>
      <c r="C217" s="0" t="s">
        <v>163</v>
      </c>
      <c r="D217" s="0" t="s">
        <v>557</v>
      </c>
      <c r="E217" s="0" t="s">
        <v>558</v>
      </c>
      <c r="F217" s="0">
        <v>0</v>
      </c>
      <c r="G217" s="0" t="s">
        <v>106</v>
      </c>
      <c r="H217" s="0">
        <v>0</v>
      </c>
      <c r="I217" s="0">
        <v>0</v>
      </c>
      <c r="J217" s="0">
        <v>0</v>
      </c>
      <c r="K217" s="0">
        <v>0</v>
      </c>
      <c r="L217" s="0">
        <v>0</v>
      </c>
      <c r="M217" s="0">
        <v>0</v>
      </c>
      <c r="N217" s="0" t="b">
        <v>0</v>
      </c>
      <c r="O217" s="2">
        <v>44613.583333333336</v>
      </c>
      <c r="P217" s="2">
        <v>44613.625</v>
      </c>
      <c r="Q217" s="2">
        <v>44613.208333333336</v>
      </c>
      <c r="R217" s="2">
        <v>44613.25</v>
      </c>
      <c r="S217" s="0">
        <v>60</v>
      </c>
      <c r="T217" s="0">
        <v>12</v>
      </c>
      <c r="U217" s="0">
        <v>55</v>
      </c>
      <c r="V217" s="0">
        <v>625</v>
      </c>
      <c r="W217" s="1">
        <f>=HYPERLINK("10.175.1.14\MWEB.12\BT\EntityDetails.10.175.1.14.MWEB.12._APPDYNAMICS.625.xlsx", "&lt;Detail&gt;")</f>
      </c>
      <c r="X217" s="1">
        <f>=HYPERLINK("10.175.1.14\MWEB.12\BT\MetricGraphs.BT.10.175.1.14.MWEB.12.xlsx", "&lt;Metrics&gt;")</f>
      </c>
      <c r="Y217" s="1">
        <f>=HYPERLINK("10.175.1.14\MWEB.12\BT\FlameGraph.BT.10.175.1.14.MWEB.12._APPDYNAMICS.625.svg", "&lt;FlGraph&gt;")</f>
      </c>
      <c r="Z217" s="1">
        <f>=HYPERLINK("10.175.1.14\MWEB.12\BT\FlameChart.BT.10.175.1.14.MWEB.12._APPDYNAMICS.625.svg", "&lt;FlChart&gt;")</f>
      </c>
      <c r="AA217" s="0" t="s">
        <v>107</v>
      </c>
      <c r="AB217" s="0" t="s">
        <v>108</v>
      </c>
      <c r="AC217" s="0" t="s">
        <v>164</v>
      </c>
      <c r="AD217" s="0" t="s">
        <v>577</v>
      </c>
      <c r="AE217" s="0" t="s">
        <v>109</v>
      </c>
    </row>
    <row r="218">
      <c r="A218" s="0" t="s">
        <v>28</v>
      </c>
      <c r="B218" s="0" t="s">
        <v>30</v>
      </c>
      <c r="C218" s="0" t="s">
        <v>165</v>
      </c>
      <c r="D218" s="0" t="s">
        <v>557</v>
      </c>
      <c r="E218" s="0" t="s">
        <v>558</v>
      </c>
      <c r="F218" s="0">
        <v>0</v>
      </c>
      <c r="G218" s="0" t="s">
        <v>106</v>
      </c>
      <c r="H218" s="0">
        <v>0</v>
      </c>
      <c r="I218" s="0">
        <v>0</v>
      </c>
      <c r="J218" s="0">
        <v>0</v>
      </c>
      <c r="K218" s="0">
        <v>0</v>
      </c>
      <c r="L218" s="0">
        <v>0</v>
      </c>
      <c r="M218" s="0">
        <v>0</v>
      </c>
      <c r="N218" s="0" t="b">
        <v>0</v>
      </c>
      <c r="O218" s="2">
        <v>44613.583333333336</v>
      </c>
      <c r="P218" s="2">
        <v>44613.625</v>
      </c>
      <c r="Q218" s="2">
        <v>44613.208333333336</v>
      </c>
      <c r="R218" s="2">
        <v>44613.25</v>
      </c>
      <c r="S218" s="0">
        <v>60</v>
      </c>
      <c r="T218" s="0">
        <v>12</v>
      </c>
      <c r="U218" s="0">
        <v>47</v>
      </c>
      <c r="V218" s="0">
        <v>619</v>
      </c>
      <c r="W218" s="1">
        <f>=HYPERLINK("10.175.1.14\MWEB.12\BT\EntityDetails.10.175.1.14.MWEB.12._APPDYNAMICS.619.xlsx", "&lt;Detail&gt;")</f>
      </c>
      <c r="X218" s="1">
        <f>=HYPERLINK("10.175.1.14\MWEB.12\BT\MetricGraphs.BT.10.175.1.14.MWEB.12.xlsx", "&lt;Metrics&gt;")</f>
      </c>
      <c r="Y218" s="1">
        <f>=HYPERLINK("10.175.1.14\MWEB.12\BT\FlameGraph.BT.10.175.1.14.MWEB.12._APPDYNAMICS.619.svg", "&lt;FlGraph&gt;")</f>
      </c>
      <c r="Z218" s="1">
        <f>=HYPERLINK("10.175.1.14\MWEB.12\BT\FlameChart.BT.10.175.1.14.MWEB.12._APPDYNAMICS.619.svg", "&lt;FlChart&gt;")</f>
      </c>
      <c r="AA218" s="0" t="s">
        <v>107</v>
      </c>
      <c r="AB218" s="0" t="s">
        <v>108</v>
      </c>
      <c r="AC218" s="0" t="s">
        <v>166</v>
      </c>
      <c r="AD218" s="0" t="s">
        <v>578</v>
      </c>
      <c r="AE218" s="0" t="s">
        <v>109</v>
      </c>
    </row>
    <row r="219">
      <c r="A219" s="0" t="s">
        <v>28</v>
      </c>
      <c r="B219" s="0" t="s">
        <v>30</v>
      </c>
      <c r="C219" s="0" t="s">
        <v>143</v>
      </c>
      <c r="D219" s="0" t="s">
        <v>579</v>
      </c>
      <c r="E219" s="0" t="s">
        <v>229</v>
      </c>
      <c r="F219" s="0">
        <v>0</v>
      </c>
      <c r="G219" s="0" t="s">
        <v>106</v>
      </c>
      <c r="H219" s="0">
        <v>0</v>
      </c>
      <c r="I219" s="0">
        <v>0</v>
      </c>
      <c r="J219" s="0">
        <v>0</v>
      </c>
      <c r="K219" s="0">
        <v>0</v>
      </c>
      <c r="L219" s="0">
        <v>0</v>
      </c>
      <c r="M219" s="0">
        <v>0</v>
      </c>
      <c r="N219" s="0" t="b">
        <v>0</v>
      </c>
      <c r="O219" s="2">
        <v>44613.583333333336</v>
      </c>
      <c r="P219" s="2">
        <v>44613.625</v>
      </c>
      <c r="Q219" s="2">
        <v>44613.208333333336</v>
      </c>
      <c r="R219" s="2">
        <v>44613.25</v>
      </c>
      <c r="S219" s="0">
        <v>60</v>
      </c>
      <c r="T219" s="0">
        <v>12</v>
      </c>
      <c r="U219" s="0">
        <v>43</v>
      </c>
      <c r="V219" s="0">
        <v>483</v>
      </c>
      <c r="W219" s="1">
        <f>=HYPERLINK("10.175.1.14\MWEB.12\BT\EntityDetails.10.175.1.14.MWEB.12.FEP通信.483.xlsx", "&lt;Detail&gt;")</f>
      </c>
      <c r="X219" s="1">
        <f>=HYPERLINK("10.175.1.14\MWEB.12\BT\MetricGraphs.BT.10.175.1.14.MWEB.12.xlsx", "&lt;Metrics&gt;")</f>
      </c>
      <c r="Y219" s="1">
        <f>=HYPERLINK("10.175.1.14\MWEB.12\BT\FlameGraph.BT.10.175.1.14.MWEB.12.FEP通信.483.svg", "&lt;FlGraph&gt;")</f>
      </c>
      <c r="Z219" s="1">
        <f>=HYPERLINK("10.175.1.14\MWEB.12\BT\FlameChart.BT.10.175.1.14.MWEB.12.FEP通信.483.svg", "&lt;FlChart&gt;")</f>
      </c>
      <c r="AA219" s="0" t="s">
        <v>107</v>
      </c>
      <c r="AB219" s="0" t="s">
        <v>108</v>
      </c>
      <c r="AC219" s="0" t="s">
        <v>144</v>
      </c>
      <c r="AD219" s="0" t="s">
        <v>580</v>
      </c>
      <c r="AE219" s="0" t="s">
        <v>109</v>
      </c>
    </row>
    <row r="220">
      <c r="A220" s="0" t="s">
        <v>28</v>
      </c>
      <c r="B220" s="0" t="s">
        <v>30</v>
      </c>
      <c r="C220" s="0" t="s">
        <v>163</v>
      </c>
      <c r="D220" s="0" t="s">
        <v>579</v>
      </c>
      <c r="E220" s="0" t="s">
        <v>229</v>
      </c>
      <c r="F220" s="0">
        <v>0</v>
      </c>
      <c r="G220" s="0" t="s">
        <v>106</v>
      </c>
      <c r="H220" s="0">
        <v>0</v>
      </c>
      <c r="I220" s="0">
        <v>0</v>
      </c>
      <c r="J220" s="0">
        <v>0</v>
      </c>
      <c r="K220" s="0">
        <v>0</v>
      </c>
      <c r="L220" s="0">
        <v>0</v>
      </c>
      <c r="M220" s="0">
        <v>0</v>
      </c>
      <c r="N220" s="0" t="b">
        <v>0</v>
      </c>
      <c r="O220" s="2">
        <v>44613.583333333336</v>
      </c>
      <c r="P220" s="2">
        <v>44613.625</v>
      </c>
      <c r="Q220" s="2">
        <v>44613.208333333336</v>
      </c>
      <c r="R220" s="2">
        <v>44613.25</v>
      </c>
      <c r="S220" s="0">
        <v>60</v>
      </c>
      <c r="T220" s="0">
        <v>12</v>
      </c>
      <c r="U220" s="0">
        <v>55</v>
      </c>
      <c r="V220" s="0">
        <v>698</v>
      </c>
      <c r="W220" s="1">
        <f>=HYPERLINK("10.175.1.14\MWEB.12\BT\EntityDetails.10.175.1.14.MWEB.12.FEP通信.698.xlsx", "&lt;Detail&gt;")</f>
      </c>
      <c r="X220" s="1">
        <f>=HYPERLINK("10.175.1.14\MWEB.12\BT\MetricGraphs.BT.10.175.1.14.MWEB.12.xlsx", "&lt;Metrics&gt;")</f>
      </c>
      <c r="Y220" s="1">
        <f>=HYPERLINK("10.175.1.14\MWEB.12\BT\FlameGraph.BT.10.175.1.14.MWEB.12.FEP通信.698.svg", "&lt;FlGraph&gt;")</f>
      </c>
      <c r="Z220" s="1">
        <f>=HYPERLINK("10.175.1.14\MWEB.12\BT\FlameChart.BT.10.175.1.14.MWEB.12.FEP通信.698.svg", "&lt;FlChart&gt;")</f>
      </c>
      <c r="AA220" s="0" t="s">
        <v>107</v>
      </c>
      <c r="AB220" s="0" t="s">
        <v>108</v>
      </c>
      <c r="AC220" s="0" t="s">
        <v>164</v>
      </c>
      <c r="AD220" s="0" t="s">
        <v>581</v>
      </c>
      <c r="AE220" s="0" t="s">
        <v>109</v>
      </c>
    </row>
    <row r="221">
      <c r="A221" s="0" t="s">
        <v>28</v>
      </c>
      <c r="B221" s="0" t="s">
        <v>30</v>
      </c>
      <c r="C221" s="0" t="s">
        <v>139</v>
      </c>
      <c r="D221" s="0" t="s">
        <v>582</v>
      </c>
      <c r="E221" s="0" t="s">
        <v>223</v>
      </c>
      <c r="F221" s="0">
        <v>0</v>
      </c>
      <c r="G221" s="0" t="s">
        <v>106</v>
      </c>
      <c r="H221" s="0">
        <v>0</v>
      </c>
      <c r="I221" s="0">
        <v>0</v>
      </c>
      <c r="J221" s="0">
        <v>0</v>
      </c>
      <c r="K221" s="0">
        <v>0</v>
      </c>
      <c r="L221" s="0">
        <v>0</v>
      </c>
      <c r="M221" s="0">
        <v>0</v>
      </c>
      <c r="N221" s="0" t="b">
        <v>0</v>
      </c>
      <c r="O221" s="2">
        <v>44613.583333333336</v>
      </c>
      <c r="P221" s="2">
        <v>44613.625</v>
      </c>
      <c r="Q221" s="2">
        <v>44613.208333333336</v>
      </c>
      <c r="R221" s="2">
        <v>44613.25</v>
      </c>
      <c r="S221" s="0">
        <v>60</v>
      </c>
      <c r="T221" s="0">
        <v>12</v>
      </c>
      <c r="U221" s="0">
        <v>35</v>
      </c>
      <c r="V221" s="0">
        <v>431</v>
      </c>
      <c r="W221" s="1">
        <f>=HYPERLINK("10.175.1.14\MWEB.12\BT\EntityDetails.10.175.1.14.MWEB.12.Newsplus.431.xlsx", "&lt;Detail&gt;")</f>
      </c>
      <c r="X221" s="1">
        <f>=HYPERLINK("10.175.1.14\MWEB.12\BT\MetricGraphs.BT.10.175.1.14.MWEB.12.xlsx", "&lt;Metrics&gt;")</f>
      </c>
      <c r="Y221" s="1">
        <f>=HYPERLINK("10.175.1.14\MWEB.12\BT\FlameGraph.BT.10.175.1.14.MWEB.12.Newsplus.431.svg", "&lt;FlGraph&gt;")</f>
      </c>
      <c r="Z221" s="1">
        <f>=HYPERLINK("10.175.1.14\MWEB.12\BT\FlameChart.BT.10.175.1.14.MWEB.12.Newsplus.431.svg", "&lt;FlChart&gt;")</f>
      </c>
      <c r="AA221" s="0" t="s">
        <v>107</v>
      </c>
      <c r="AB221" s="0" t="s">
        <v>108</v>
      </c>
      <c r="AC221" s="0" t="s">
        <v>142</v>
      </c>
      <c r="AD221" s="0" t="s">
        <v>583</v>
      </c>
      <c r="AE221" s="0" t="s">
        <v>109</v>
      </c>
    </row>
    <row r="222">
      <c r="A222" s="0" t="s">
        <v>28</v>
      </c>
      <c r="B222" s="0" t="s">
        <v>30</v>
      </c>
      <c r="C222" s="0" t="s">
        <v>133</v>
      </c>
      <c r="D222" s="0" t="s">
        <v>584</v>
      </c>
      <c r="E222" s="0" t="s">
        <v>229</v>
      </c>
      <c r="F222" s="0">
        <v>0</v>
      </c>
      <c r="G222" s="0" t="s">
        <v>106</v>
      </c>
      <c r="H222" s="0">
        <v>0</v>
      </c>
      <c r="I222" s="0">
        <v>0</v>
      </c>
      <c r="J222" s="0">
        <v>0</v>
      </c>
      <c r="K222" s="0">
        <v>0</v>
      </c>
      <c r="L222" s="0">
        <v>0</v>
      </c>
      <c r="M222" s="0">
        <v>0</v>
      </c>
      <c r="N222" s="0" t="b">
        <v>0</v>
      </c>
      <c r="O222" s="2">
        <v>44613.583333333336</v>
      </c>
      <c r="P222" s="2">
        <v>44613.625</v>
      </c>
      <c r="Q222" s="2">
        <v>44613.208333333336</v>
      </c>
      <c r="R222" s="2">
        <v>44613.25</v>
      </c>
      <c r="S222" s="0">
        <v>60</v>
      </c>
      <c r="T222" s="0">
        <v>12</v>
      </c>
      <c r="U222" s="0">
        <v>36</v>
      </c>
      <c r="V222" s="0">
        <v>481</v>
      </c>
      <c r="W222" s="1">
        <f>=HYPERLINK("10.175.1.14\MWEB.12\BT\EntityDetails.10.175.1.14.MWEB.12.TougouWebLog.481.xlsx", "&lt;Detail&gt;")</f>
      </c>
      <c r="X222" s="1">
        <f>=HYPERLINK("10.175.1.14\MWEB.12\BT\MetricGraphs.BT.10.175.1.14.MWEB.12.xlsx", "&lt;Metrics&gt;")</f>
      </c>
      <c r="Y222" s="1">
        <f>=HYPERLINK("10.175.1.14\MWEB.12\BT\FlameGraph.BT.10.175.1.14.MWEB.12.TougouWebLog.481.svg", "&lt;FlGraph&gt;")</f>
      </c>
      <c r="Z222" s="1">
        <f>=HYPERLINK("10.175.1.14\MWEB.12\BT\FlameChart.BT.10.175.1.14.MWEB.12.TougouWebLog.481.svg", "&lt;FlChart&gt;")</f>
      </c>
      <c r="AA222" s="0" t="s">
        <v>107</v>
      </c>
      <c r="AB222" s="0" t="s">
        <v>108</v>
      </c>
      <c r="AC222" s="0" t="s">
        <v>134</v>
      </c>
      <c r="AD222" s="0" t="s">
        <v>585</v>
      </c>
      <c r="AE222" s="0" t="s">
        <v>109</v>
      </c>
    </row>
    <row r="223">
      <c r="A223" s="0" t="s">
        <v>28</v>
      </c>
      <c r="B223" s="0" t="s">
        <v>30</v>
      </c>
      <c r="C223" s="0" t="s">
        <v>135</v>
      </c>
      <c r="D223" s="0" t="s">
        <v>584</v>
      </c>
      <c r="E223" s="0" t="s">
        <v>229</v>
      </c>
      <c r="F223" s="0">
        <v>0</v>
      </c>
      <c r="G223" s="0" t="s">
        <v>106</v>
      </c>
      <c r="H223" s="0">
        <v>0</v>
      </c>
      <c r="I223" s="0">
        <v>0</v>
      </c>
      <c r="J223" s="0">
        <v>0</v>
      </c>
      <c r="K223" s="0">
        <v>0</v>
      </c>
      <c r="L223" s="0">
        <v>0</v>
      </c>
      <c r="M223" s="0">
        <v>0</v>
      </c>
      <c r="N223" s="0" t="b">
        <v>0</v>
      </c>
      <c r="O223" s="2">
        <v>44613.583333333336</v>
      </c>
      <c r="P223" s="2">
        <v>44613.625</v>
      </c>
      <c r="Q223" s="2">
        <v>44613.208333333336</v>
      </c>
      <c r="R223" s="2">
        <v>44613.25</v>
      </c>
      <c r="S223" s="0">
        <v>60</v>
      </c>
      <c r="T223" s="0">
        <v>12</v>
      </c>
      <c r="U223" s="0">
        <v>37</v>
      </c>
      <c r="V223" s="0">
        <v>482</v>
      </c>
      <c r="W223" s="1">
        <f>=HYPERLINK("10.175.1.14\MWEB.12\BT\EntityDetails.10.175.1.14.MWEB.12.TougouWebLog.482.xlsx", "&lt;Detail&gt;")</f>
      </c>
      <c r="X223" s="1">
        <f>=HYPERLINK("10.175.1.14\MWEB.12\BT\MetricGraphs.BT.10.175.1.14.MWEB.12.xlsx", "&lt;Metrics&gt;")</f>
      </c>
      <c r="Y223" s="1">
        <f>=HYPERLINK("10.175.1.14\MWEB.12\BT\FlameGraph.BT.10.175.1.14.MWEB.12.TougouWebLog.482.svg", "&lt;FlGraph&gt;")</f>
      </c>
      <c r="Z223" s="1">
        <f>=HYPERLINK("10.175.1.14\MWEB.12\BT\FlameChart.BT.10.175.1.14.MWEB.12.TougouWebLog.482.svg", "&lt;FlChart&gt;")</f>
      </c>
      <c r="AA223" s="0" t="s">
        <v>107</v>
      </c>
      <c r="AB223" s="0" t="s">
        <v>108</v>
      </c>
      <c r="AC223" s="0" t="s">
        <v>136</v>
      </c>
      <c r="AD223" s="0" t="s">
        <v>586</v>
      </c>
      <c r="AE223" s="0" t="s">
        <v>109</v>
      </c>
    </row>
    <row r="224">
      <c r="A224" s="0" t="s">
        <v>28</v>
      </c>
      <c r="B224" s="0" t="s">
        <v>30</v>
      </c>
      <c r="C224" s="0" t="s">
        <v>137</v>
      </c>
      <c r="D224" s="0" t="s">
        <v>584</v>
      </c>
      <c r="E224" s="0" t="s">
        <v>229</v>
      </c>
      <c r="F224" s="0">
        <v>0</v>
      </c>
      <c r="G224" s="0" t="s">
        <v>106</v>
      </c>
      <c r="H224" s="0">
        <v>0</v>
      </c>
      <c r="I224" s="0">
        <v>0</v>
      </c>
      <c r="J224" s="0">
        <v>0</v>
      </c>
      <c r="K224" s="0">
        <v>0</v>
      </c>
      <c r="L224" s="0">
        <v>0</v>
      </c>
      <c r="M224" s="0">
        <v>0</v>
      </c>
      <c r="N224" s="0" t="b">
        <v>0</v>
      </c>
      <c r="O224" s="2">
        <v>44613.583333333336</v>
      </c>
      <c r="P224" s="2">
        <v>44613.625</v>
      </c>
      <c r="Q224" s="2">
        <v>44613.208333333336</v>
      </c>
      <c r="R224" s="2">
        <v>44613.25</v>
      </c>
      <c r="S224" s="0">
        <v>60</v>
      </c>
      <c r="T224" s="0">
        <v>12</v>
      </c>
      <c r="U224" s="0">
        <v>38</v>
      </c>
      <c r="V224" s="0">
        <v>480</v>
      </c>
      <c r="W224" s="1">
        <f>=HYPERLINK("10.175.1.14\MWEB.12\BT\EntityDetails.10.175.1.14.MWEB.12.TougouWebLog.480.xlsx", "&lt;Detail&gt;")</f>
      </c>
      <c r="X224" s="1">
        <f>=HYPERLINK("10.175.1.14\MWEB.12\BT\MetricGraphs.BT.10.175.1.14.MWEB.12.xlsx", "&lt;Metrics&gt;")</f>
      </c>
      <c r="Y224" s="1">
        <f>=HYPERLINK("10.175.1.14\MWEB.12\BT\FlameGraph.BT.10.175.1.14.MWEB.12.TougouWebLog.480.svg", "&lt;FlGraph&gt;")</f>
      </c>
      <c r="Z224" s="1">
        <f>=HYPERLINK("10.175.1.14\MWEB.12\BT\FlameChart.BT.10.175.1.14.MWEB.12.TougouWebLog.480.svg", "&lt;FlChart&gt;")</f>
      </c>
      <c r="AA224" s="0" t="s">
        <v>107</v>
      </c>
      <c r="AB224" s="0" t="s">
        <v>108</v>
      </c>
      <c r="AC224" s="0" t="s">
        <v>138</v>
      </c>
      <c r="AD224" s="0" t="s">
        <v>587</v>
      </c>
      <c r="AE224" s="0" t="s">
        <v>109</v>
      </c>
    </row>
  </sheetData>
  <conditionalFormatting sqref="M5:M224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24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24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24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19.xml><?xml version="1.0" encoding="utf-8"?>
<worksheet xmlns:r="http://schemas.openxmlformats.org/officeDocument/2006/relationships" xmlns="http://schemas.openxmlformats.org/spreadsheetml/2006/main">
  <dimension ref="A1:AE224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15" max="15" width="20" customWidth="1"/>
    <col min="16" max="16" width="20" customWidth="1"/>
    <col min="17" max="17" width="20" customWidth="1"/>
    <col min="18" max="18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=HYPERLINK("#'8.BTs.Perf'!A1",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218</v>
      </c>
      <c r="E4" s="0" t="s">
        <v>219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95</v>
      </c>
      <c r="N4" s="0" t="s">
        <v>96</v>
      </c>
      <c r="O4" s="0" t="s">
        <v>4</v>
      </c>
      <c r="P4" s="0" t="s">
        <v>5</v>
      </c>
      <c r="Q4" s="0" t="s">
        <v>97</v>
      </c>
      <c r="R4" s="0" t="s">
        <v>98</v>
      </c>
      <c r="S4" s="0" t="s">
        <v>99</v>
      </c>
      <c r="T4" s="0" t="s">
        <v>26</v>
      </c>
      <c r="U4" s="0" t="s">
        <v>118</v>
      </c>
      <c r="V4" s="0" t="s">
        <v>220</v>
      </c>
      <c r="W4" s="0" t="s">
        <v>100</v>
      </c>
      <c r="X4" s="0" t="s">
        <v>101</v>
      </c>
      <c r="Y4" s="0" t="s">
        <v>102</v>
      </c>
      <c r="Z4" s="0" t="s">
        <v>103</v>
      </c>
      <c r="AA4" s="0" t="s">
        <v>78</v>
      </c>
      <c r="AB4" s="0" t="s">
        <v>104</v>
      </c>
      <c r="AC4" s="0" t="s">
        <v>119</v>
      </c>
      <c r="AD4" s="0" t="s">
        <v>221</v>
      </c>
      <c r="AE4" s="0" t="s">
        <v>105</v>
      </c>
    </row>
    <row r="5">
      <c r="A5" s="0" t="s">
        <v>28</v>
      </c>
      <c r="B5" s="0" t="s">
        <v>30</v>
      </c>
      <c r="C5" s="0" t="s">
        <v>161</v>
      </c>
      <c r="D5" s="0" t="s">
        <v>222</v>
      </c>
      <c r="E5" s="0" t="s">
        <v>223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 t="b">
        <v>0</v>
      </c>
      <c r="O5" s="2">
        <v>44613.583333333336</v>
      </c>
      <c r="P5" s="2">
        <v>44613.625</v>
      </c>
      <c r="Q5" s="2">
        <v>44613.208333333336</v>
      </c>
      <c r="R5" s="2">
        <v>44613.25</v>
      </c>
      <c r="S5" s="0">
        <v>60</v>
      </c>
      <c r="T5" s="0">
        <v>12</v>
      </c>
      <c r="U5" s="0">
        <v>48</v>
      </c>
      <c r="V5" s="0">
        <v>926</v>
      </c>
      <c r="W5" s="1">
        <f>=HYPERLINK("10.175.1.14\MWEB.12\BT\EntityDetails.10.175.1.14.MWEB.12.-.926.xlsx", "&lt;Detail&gt;")</f>
      </c>
      <c r="X5" s="1">
        <f>=HYPERLINK("10.175.1.14\MWEB.12\BT\MetricGraphs.BT.10.175.1.14.MWEB.12.xlsx", "&lt;Metrics&gt;")</f>
      </c>
      <c r="Y5" s="1">
        <f>=HYPERLINK("10.175.1.14\MWEB.12\BT\FlameGraph.BT.10.175.1.14.MWEB.12.-.926.svg", "&lt;FlGraph&gt;")</f>
      </c>
      <c r="Z5" s="1">
        <f>=HYPERLINK("10.175.1.14\MWEB.12\BT\FlameChart.BT.10.175.1.14.MWEB.12.-.926.svg", "&lt;FlChart&gt;")</f>
      </c>
      <c r="AA5" s="0" t="s">
        <v>107</v>
      </c>
      <c r="AB5" s="0" t="s">
        <v>108</v>
      </c>
      <c r="AC5" s="0" t="s">
        <v>162</v>
      </c>
      <c r="AD5" s="0" t="s">
        <v>224</v>
      </c>
      <c r="AE5" s="0" t="s">
        <v>109</v>
      </c>
    </row>
    <row r="6">
      <c r="A6" s="0" t="s">
        <v>28</v>
      </c>
      <c r="B6" s="0" t="s">
        <v>30</v>
      </c>
      <c r="C6" s="0" t="s">
        <v>149</v>
      </c>
      <c r="D6" s="0" t="s">
        <v>225</v>
      </c>
      <c r="E6" s="0" t="s">
        <v>226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 t="b">
        <v>0</v>
      </c>
      <c r="O6" s="2">
        <v>44613.583333333336</v>
      </c>
      <c r="P6" s="2">
        <v>44613.625</v>
      </c>
      <c r="Q6" s="2">
        <v>44613.208333333336</v>
      </c>
      <c r="R6" s="2">
        <v>44613.25</v>
      </c>
      <c r="S6" s="0">
        <v>60</v>
      </c>
      <c r="T6" s="0">
        <v>12</v>
      </c>
      <c r="U6" s="0">
        <v>50</v>
      </c>
      <c r="V6" s="0">
        <v>778</v>
      </c>
      <c r="W6" s="1">
        <f>=HYPERLINK("10.175.1.14\MWEB.12\BT\EntityDetails.10.175.1.14.MWEB.12.-.POST.778.xlsx", "&lt;Detail&gt;")</f>
      </c>
      <c r="X6" s="1">
        <f>=HYPERLINK("10.175.1.14\MWEB.12\BT\MetricGraphs.BT.10.175.1.14.MWEB.12.xlsx", "&lt;Metrics&gt;")</f>
      </c>
      <c r="Y6" s="1">
        <f>=HYPERLINK("10.175.1.14\MWEB.12\BT\FlameGraph.BT.10.175.1.14.MWEB.12.-.POST.778.svg", "&lt;FlGraph&gt;")</f>
      </c>
      <c r="Z6" s="1">
        <f>=HYPERLINK("10.175.1.14\MWEB.12\BT\FlameChart.BT.10.175.1.14.MWEB.12.-.POST.778.svg", "&lt;FlChart&gt;")</f>
      </c>
      <c r="AA6" s="0" t="s">
        <v>107</v>
      </c>
      <c r="AB6" s="0" t="s">
        <v>108</v>
      </c>
      <c r="AC6" s="0" t="s">
        <v>150</v>
      </c>
      <c r="AD6" s="0" t="s">
        <v>227</v>
      </c>
      <c r="AE6" s="0" t="s">
        <v>109</v>
      </c>
    </row>
    <row r="7">
      <c r="A7" s="0" t="s">
        <v>28</v>
      </c>
      <c r="B7" s="0" t="s">
        <v>30</v>
      </c>
      <c r="C7" s="0" t="s">
        <v>125</v>
      </c>
      <c r="D7" s="0" t="s">
        <v>228</v>
      </c>
      <c r="E7" s="0" t="s">
        <v>229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 t="b">
        <v>0</v>
      </c>
      <c r="O7" s="2">
        <v>44613.583333333336</v>
      </c>
      <c r="P7" s="2">
        <v>44613.625</v>
      </c>
      <c r="Q7" s="2">
        <v>44613.208333333336</v>
      </c>
      <c r="R7" s="2">
        <v>44613.25</v>
      </c>
      <c r="S7" s="0">
        <v>60</v>
      </c>
      <c r="T7" s="0">
        <v>12</v>
      </c>
      <c r="U7" s="0">
        <v>42</v>
      </c>
      <c r="V7" s="0">
        <v>438</v>
      </c>
      <c r="W7" s="1">
        <f>=HYPERLINK("10.175.1.14\MWEB.12\BT\EntityDetails.10.175.1.14.MWEB.12.-admin-login.438.xlsx", "&lt;Detail&gt;")</f>
      </c>
      <c r="X7" s="1">
        <f>=HYPERLINK("10.175.1.14\MWEB.12\BT\MetricGraphs.BT.10.175.1.14.MWEB.12.xlsx", "&lt;Metrics&gt;")</f>
      </c>
      <c r="Y7" s="1">
        <f>=HYPERLINK("10.175.1.14\MWEB.12\BT\FlameGraph.BT.10.175.1.14.MWEB.12.-admin-login.438.svg", "&lt;FlGraph&gt;")</f>
      </c>
      <c r="Z7" s="1">
        <f>=HYPERLINK("10.175.1.14\MWEB.12\BT\FlameChart.BT.10.175.1.14.MWEB.12.-admin-login.438.svg", "&lt;FlChart&gt;")</f>
      </c>
      <c r="AA7" s="0" t="s">
        <v>107</v>
      </c>
      <c r="AB7" s="0" t="s">
        <v>108</v>
      </c>
      <c r="AC7" s="0" t="s">
        <v>126</v>
      </c>
      <c r="AD7" s="0" t="s">
        <v>230</v>
      </c>
      <c r="AE7" s="0" t="s">
        <v>109</v>
      </c>
    </row>
    <row r="8">
      <c r="A8" s="0" t="s">
        <v>28</v>
      </c>
      <c r="B8" s="0" t="s">
        <v>30</v>
      </c>
      <c r="C8" s="0" t="s">
        <v>125</v>
      </c>
      <c r="D8" s="0" t="s">
        <v>231</v>
      </c>
      <c r="E8" s="0" t="s">
        <v>229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 t="b">
        <v>0</v>
      </c>
      <c r="O8" s="2">
        <v>44613.583333333336</v>
      </c>
      <c r="P8" s="2">
        <v>44613.625</v>
      </c>
      <c r="Q8" s="2">
        <v>44613.208333333336</v>
      </c>
      <c r="R8" s="2">
        <v>44613.25</v>
      </c>
      <c r="S8" s="0">
        <v>60</v>
      </c>
      <c r="T8" s="0">
        <v>12</v>
      </c>
      <c r="U8" s="0">
        <v>42</v>
      </c>
      <c r="V8" s="0">
        <v>170</v>
      </c>
      <c r="W8" s="1">
        <f>=HYPERLINK("10.175.1.14\MWEB.12\BT\EntityDetails.10.175.1.14.MWEB.12.-api-login.170.xlsx", "&lt;Detail&gt;")</f>
      </c>
      <c r="X8" s="1">
        <f>=HYPERLINK("10.175.1.14\MWEB.12\BT\MetricGraphs.BT.10.175.1.14.MWEB.12.xlsx", "&lt;Metrics&gt;")</f>
      </c>
      <c r="Y8" s="1">
        <f>=HYPERLINK("10.175.1.14\MWEB.12\BT\FlameGraph.BT.10.175.1.14.MWEB.12.-api-login.170.svg", "&lt;FlGraph&gt;")</f>
      </c>
      <c r="Z8" s="1">
        <f>=HYPERLINK("10.175.1.14\MWEB.12\BT\FlameChart.BT.10.175.1.14.MWEB.12.-api-login.170.svg", "&lt;FlChart&gt;")</f>
      </c>
      <c r="AA8" s="0" t="s">
        <v>107</v>
      </c>
      <c r="AB8" s="0" t="s">
        <v>108</v>
      </c>
      <c r="AC8" s="0" t="s">
        <v>126</v>
      </c>
      <c r="AD8" s="0" t="s">
        <v>232</v>
      </c>
      <c r="AE8" s="0" t="s">
        <v>109</v>
      </c>
    </row>
    <row r="9">
      <c r="A9" s="0" t="s">
        <v>28</v>
      </c>
      <c r="B9" s="0" t="s">
        <v>30</v>
      </c>
      <c r="C9" s="0" t="s">
        <v>161</v>
      </c>
      <c r="D9" s="0" t="s">
        <v>233</v>
      </c>
      <c r="E9" s="0" t="s">
        <v>223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 t="b">
        <v>0</v>
      </c>
      <c r="O9" s="2">
        <v>44613.583333333336</v>
      </c>
      <c r="P9" s="2">
        <v>44613.625</v>
      </c>
      <c r="Q9" s="2">
        <v>44613.208333333336</v>
      </c>
      <c r="R9" s="2">
        <v>44613.25</v>
      </c>
      <c r="S9" s="0">
        <v>60</v>
      </c>
      <c r="T9" s="0">
        <v>12</v>
      </c>
      <c r="U9" s="0">
        <v>48</v>
      </c>
      <c r="V9" s="0">
        <v>933</v>
      </c>
      <c r="W9" s="1">
        <f>=HYPERLINK("10.175.1.14\MWEB.12\BT\EntityDetails.10.175.1.14.MWEB.12.-authenticat.933.xlsx", "&lt;Detail&gt;")</f>
      </c>
      <c r="X9" s="1">
        <f>=HYPERLINK("10.175.1.14\MWEB.12\BT\MetricGraphs.BT.10.175.1.14.MWEB.12.xlsx", "&lt;Metrics&gt;")</f>
      </c>
      <c r="Y9" s="1">
        <f>=HYPERLINK("10.175.1.14\MWEB.12\BT\FlameGraph.BT.10.175.1.14.MWEB.12.-authenticat.933.svg", "&lt;FlGraph&gt;")</f>
      </c>
      <c r="Z9" s="1">
        <f>=HYPERLINK("10.175.1.14\MWEB.12\BT\FlameChart.BT.10.175.1.14.MWEB.12.-authenticat.933.svg", "&lt;FlChart&gt;")</f>
      </c>
      <c r="AA9" s="0" t="s">
        <v>107</v>
      </c>
      <c r="AB9" s="0" t="s">
        <v>108</v>
      </c>
      <c r="AC9" s="0" t="s">
        <v>162</v>
      </c>
      <c r="AD9" s="0" t="s">
        <v>234</v>
      </c>
      <c r="AE9" s="0" t="s">
        <v>109</v>
      </c>
    </row>
    <row r="10">
      <c r="A10" s="0" t="s">
        <v>28</v>
      </c>
      <c r="B10" s="0" t="s">
        <v>30</v>
      </c>
      <c r="C10" s="0" t="s">
        <v>143</v>
      </c>
      <c r="D10" s="0" t="s">
        <v>235</v>
      </c>
      <c r="E10" s="0" t="s">
        <v>229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 t="b">
        <v>0</v>
      </c>
      <c r="O10" s="2">
        <v>44613.583333333336</v>
      </c>
      <c r="P10" s="2">
        <v>44613.625</v>
      </c>
      <c r="Q10" s="2">
        <v>44613.208333333336</v>
      </c>
      <c r="R10" s="2">
        <v>44613.25</v>
      </c>
      <c r="S10" s="0">
        <v>60</v>
      </c>
      <c r="T10" s="0">
        <v>12</v>
      </c>
      <c r="U10" s="0">
        <v>43</v>
      </c>
      <c r="V10" s="0">
        <v>426</v>
      </c>
      <c r="W10" s="1">
        <f>=HYPERLINK("10.175.1.14\MWEB.12\BT\EntityDetails.10.175.1.14.MWEB.12.-bea_wls_int.426.xlsx", "&lt;Detail&gt;")</f>
      </c>
      <c r="X10" s="1">
        <f>=HYPERLINK("10.175.1.14\MWEB.12\BT\MetricGraphs.BT.10.175.1.14.MWEB.12.xlsx", "&lt;Metrics&gt;")</f>
      </c>
      <c r="Y10" s="1">
        <f>=HYPERLINK("10.175.1.14\MWEB.12\BT\FlameGraph.BT.10.175.1.14.MWEB.12.-bea_wls_int.426.svg", "&lt;FlGraph&gt;")</f>
      </c>
      <c r="Z10" s="1">
        <f>=HYPERLINK("10.175.1.14\MWEB.12\BT\FlameChart.BT.10.175.1.14.MWEB.12.-bea_wls_int.426.svg", "&lt;FlChart&gt;")</f>
      </c>
      <c r="AA10" s="0" t="s">
        <v>107</v>
      </c>
      <c r="AB10" s="0" t="s">
        <v>108</v>
      </c>
      <c r="AC10" s="0" t="s">
        <v>144</v>
      </c>
      <c r="AD10" s="0" t="s">
        <v>236</v>
      </c>
      <c r="AE10" s="0" t="s">
        <v>109</v>
      </c>
    </row>
    <row r="11">
      <c r="A11" s="0" t="s">
        <v>28</v>
      </c>
      <c r="B11" s="0" t="s">
        <v>30</v>
      </c>
      <c r="C11" s="0" t="s">
        <v>163</v>
      </c>
      <c r="D11" s="0" t="s">
        <v>235</v>
      </c>
      <c r="E11" s="0" t="s">
        <v>229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 t="b">
        <v>0</v>
      </c>
      <c r="O11" s="2">
        <v>44613.583333333336</v>
      </c>
      <c r="P11" s="2">
        <v>44613.625</v>
      </c>
      <c r="Q11" s="2">
        <v>44613.208333333336</v>
      </c>
      <c r="R11" s="2">
        <v>44613.25</v>
      </c>
      <c r="S11" s="0">
        <v>60</v>
      </c>
      <c r="T11" s="0">
        <v>12</v>
      </c>
      <c r="U11" s="0">
        <v>55</v>
      </c>
      <c r="V11" s="0">
        <v>718</v>
      </c>
      <c r="W11" s="1">
        <f>=HYPERLINK("10.175.1.14\MWEB.12\BT\EntityDetails.10.175.1.14.MWEB.12.-bea_wls_int.718.xlsx", "&lt;Detail&gt;")</f>
      </c>
      <c r="X11" s="1">
        <f>=HYPERLINK("10.175.1.14\MWEB.12\BT\MetricGraphs.BT.10.175.1.14.MWEB.12.xlsx", "&lt;Metrics&gt;")</f>
      </c>
      <c r="Y11" s="1">
        <f>=HYPERLINK("10.175.1.14\MWEB.12\BT\FlameGraph.BT.10.175.1.14.MWEB.12.-bea_wls_int.718.svg", "&lt;FlGraph&gt;")</f>
      </c>
      <c r="Z11" s="1">
        <f>=HYPERLINK("10.175.1.14\MWEB.12\BT\FlameChart.BT.10.175.1.14.MWEB.12.-bea_wls_int.718.svg", "&lt;FlChart&gt;")</f>
      </c>
      <c r="AA11" s="0" t="s">
        <v>107</v>
      </c>
      <c r="AB11" s="0" t="s">
        <v>108</v>
      </c>
      <c r="AC11" s="0" t="s">
        <v>164</v>
      </c>
      <c r="AD11" s="0" t="s">
        <v>237</v>
      </c>
      <c r="AE11" s="0" t="s">
        <v>109</v>
      </c>
    </row>
    <row r="12">
      <c r="A12" s="0" t="s">
        <v>28</v>
      </c>
      <c r="B12" s="0" t="s">
        <v>30</v>
      </c>
      <c r="C12" s="0" t="s">
        <v>133</v>
      </c>
      <c r="D12" s="0" t="s">
        <v>238</v>
      </c>
      <c r="E12" s="0" t="s">
        <v>229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 t="b">
        <v>0</v>
      </c>
      <c r="O12" s="2">
        <v>44613.583333333336</v>
      </c>
      <c r="P12" s="2">
        <v>44613.625</v>
      </c>
      <c r="Q12" s="2">
        <v>44613.208333333336</v>
      </c>
      <c r="R12" s="2">
        <v>44613.25</v>
      </c>
      <c r="S12" s="0">
        <v>60</v>
      </c>
      <c r="T12" s="0">
        <v>12</v>
      </c>
      <c r="U12" s="0">
        <v>36</v>
      </c>
      <c r="V12" s="0">
        <v>169</v>
      </c>
      <c r="W12" s="1">
        <f>=HYPERLINK("10.175.1.14\MWEB.12\BT\EntityDetails.10.175.1.14.MWEB.12.-connect-api.169.xlsx", "&lt;Detail&gt;")</f>
      </c>
      <c r="X12" s="1">
        <f>=HYPERLINK("10.175.1.14\MWEB.12\BT\MetricGraphs.BT.10.175.1.14.MWEB.12.xlsx", "&lt;Metrics&gt;")</f>
      </c>
      <c r="Y12" s="1">
        <f>=HYPERLINK("10.175.1.14\MWEB.12\BT\FlameGraph.BT.10.175.1.14.MWEB.12.-connect-api.169.svg", "&lt;FlGraph&gt;")</f>
      </c>
      <c r="Z12" s="1">
        <f>=HYPERLINK("10.175.1.14\MWEB.12\BT\FlameChart.BT.10.175.1.14.MWEB.12.-connect-api.169.svg", "&lt;FlChart&gt;")</f>
      </c>
      <c r="AA12" s="0" t="s">
        <v>107</v>
      </c>
      <c r="AB12" s="0" t="s">
        <v>108</v>
      </c>
      <c r="AC12" s="0" t="s">
        <v>134</v>
      </c>
      <c r="AD12" s="0" t="s">
        <v>239</v>
      </c>
      <c r="AE12" s="0" t="s">
        <v>109</v>
      </c>
    </row>
    <row r="13">
      <c r="A13" s="0" t="s">
        <v>28</v>
      </c>
      <c r="B13" s="0" t="s">
        <v>30</v>
      </c>
      <c r="C13" s="0" t="s">
        <v>135</v>
      </c>
      <c r="D13" s="0" t="s">
        <v>238</v>
      </c>
      <c r="E13" s="0" t="s">
        <v>229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 t="b">
        <v>0</v>
      </c>
      <c r="O13" s="2">
        <v>44613.583333333336</v>
      </c>
      <c r="P13" s="2">
        <v>44613.625</v>
      </c>
      <c r="Q13" s="2">
        <v>44613.208333333336</v>
      </c>
      <c r="R13" s="2">
        <v>44613.25</v>
      </c>
      <c r="S13" s="0">
        <v>60</v>
      </c>
      <c r="T13" s="0">
        <v>12</v>
      </c>
      <c r="U13" s="0">
        <v>37</v>
      </c>
      <c r="V13" s="0">
        <v>204</v>
      </c>
      <c r="W13" s="1">
        <f>=HYPERLINK("10.175.1.14\MWEB.12\BT\EntityDetails.10.175.1.14.MWEB.12.-connect-api.204.xlsx", "&lt;Detail&gt;")</f>
      </c>
      <c r="X13" s="1">
        <f>=HYPERLINK("10.175.1.14\MWEB.12\BT\MetricGraphs.BT.10.175.1.14.MWEB.12.xlsx", "&lt;Metrics&gt;")</f>
      </c>
      <c r="Y13" s="1">
        <f>=HYPERLINK("10.175.1.14\MWEB.12\BT\FlameGraph.BT.10.175.1.14.MWEB.12.-connect-api.204.svg", "&lt;FlGraph&gt;")</f>
      </c>
      <c r="Z13" s="1">
        <f>=HYPERLINK("10.175.1.14\MWEB.12\BT\FlameChart.BT.10.175.1.14.MWEB.12.-connect-api.204.svg", "&lt;FlChart&gt;")</f>
      </c>
      <c r="AA13" s="0" t="s">
        <v>107</v>
      </c>
      <c r="AB13" s="0" t="s">
        <v>108</v>
      </c>
      <c r="AC13" s="0" t="s">
        <v>136</v>
      </c>
      <c r="AD13" s="0" t="s">
        <v>240</v>
      </c>
      <c r="AE13" s="0" t="s">
        <v>109</v>
      </c>
    </row>
    <row r="14">
      <c r="A14" s="0" t="s">
        <v>28</v>
      </c>
      <c r="B14" s="0" t="s">
        <v>30</v>
      </c>
      <c r="C14" s="0" t="s">
        <v>137</v>
      </c>
      <c r="D14" s="0" t="s">
        <v>238</v>
      </c>
      <c r="E14" s="0" t="s">
        <v>229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 t="b">
        <v>0</v>
      </c>
      <c r="O14" s="2">
        <v>44613.583333333336</v>
      </c>
      <c r="P14" s="2">
        <v>44613.625</v>
      </c>
      <c r="Q14" s="2">
        <v>44613.208333333336</v>
      </c>
      <c r="R14" s="2">
        <v>44613.25</v>
      </c>
      <c r="S14" s="0">
        <v>60</v>
      </c>
      <c r="T14" s="0">
        <v>12</v>
      </c>
      <c r="U14" s="0">
        <v>38</v>
      </c>
      <c r="V14" s="0">
        <v>219</v>
      </c>
      <c r="W14" s="1">
        <f>=HYPERLINK("10.175.1.14\MWEB.12\BT\EntityDetails.10.175.1.14.MWEB.12.-connect-api.219.xlsx", "&lt;Detail&gt;")</f>
      </c>
      <c r="X14" s="1">
        <f>=HYPERLINK("10.175.1.14\MWEB.12\BT\MetricGraphs.BT.10.175.1.14.MWEB.12.xlsx", "&lt;Metrics&gt;")</f>
      </c>
      <c r="Y14" s="1">
        <f>=HYPERLINK("10.175.1.14\MWEB.12\BT\FlameGraph.BT.10.175.1.14.MWEB.12.-connect-api.219.svg", "&lt;FlGraph&gt;")</f>
      </c>
      <c r="Z14" s="1">
        <f>=HYPERLINK("10.175.1.14\MWEB.12\BT\FlameChart.BT.10.175.1.14.MWEB.12.-connect-api.219.svg", "&lt;FlChart&gt;")</f>
      </c>
      <c r="AA14" s="0" t="s">
        <v>107</v>
      </c>
      <c r="AB14" s="0" t="s">
        <v>108</v>
      </c>
      <c r="AC14" s="0" t="s">
        <v>138</v>
      </c>
      <c r="AD14" s="0" t="s">
        <v>241</v>
      </c>
      <c r="AE14" s="0" t="s">
        <v>109</v>
      </c>
    </row>
    <row r="15">
      <c r="A15" s="0" t="s">
        <v>28</v>
      </c>
      <c r="B15" s="0" t="s">
        <v>30</v>
      </c>
      <c r="C15" s="0" t="s">
        <v>125</v>
      </c>
      <c r="D15" s="0" t="s">
        <v>242</v>
      </c>
      <c r="E15" s="0" t="s">
        <v>229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 t="b">
        <v>0</v>
      </c>
      <c r="O15" s="2">
        <v>44613.583333333336</v>
      </c>
      <c r="P15" s="2">
        <v>44613.625</v>
      </c>
      <c r="Q15" s="2">
        <v>44613.208333333336</v>
      </c>
      <c r="R15" s="2">
        <v>44613.25</v>
      </c>
      <c r="S15" s="0">
        <v>60</v>
      </c>
      <c r="T15" s="0">
        <v>12</v>
      </c>
      <c r="U15" s="0">
        <v>42</v>
      </c>
      <c r="V15" s="0">
        <v>202</v>
      </c>
      <c r="W15" s="1">
        <f>=HYPERLINK("10.175.1.14\MWEB.12\BT\EntityDetails.10.175.1.14.MWEB.12.-connect-dum.202.xlsx", "&lt;Detail&gt;")</f>
      </c>
      <c r="X15" s="1">
        <f>=HYPERLINK("10.175.1.14\MWEB.12\BT\MetricGraphs.BT.10.175.1.14.MWEB.12.xlsx", "&lt;Metrics&gt;")</f>
      </c>
      <c r="Y15" s="1">
        <f>=HYPERLINK("10.175.1.14\MWEB.12\BT\FlameGraph.BT.10.175.1.14.MWEB.12.-connect-dum.202.svg", "&lt;FlGraph&gt;")</f>
      </c>
      <c r="Z15" s="1">
        <f>=HYPERLINK("10.175.1.14\MWEB.12\BT\FlameChart.BT.10.175.1.14.MWEB.12.-connect-dum.202.svg", "&lt;FlChart&gt;")</f>
      </c>
      <c r="AA15" s="0" t="s">
        <v>107</v>
      </c>
      <c r="AB15" s="0" t="s">
        <v>108</v>
      </c>
      <c r="AC15" s="0" t="s">
        <v>126</v>
      </c>
      <c r="AD15" s="0" t="s">
        <v>243</v>
      </c>
      <c r="AE15" s="0" t="s">
        <v>109</v>
      </c>
    </row>
    <row r="16">
      <c r="A16" s="0" t="s">
        <v>28</v>
      </c>
      <c r="B16" s="0" t="s">
        <v>30</v>
      </c>
      <c r="C16" s="0" t="s">
        <v>129</v>
      </c>
      <c r="D16" s="0" t="s">
        <v>244</v>
      </c>
      <c r="E16" s="0" t="s">
        <v>229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 t="b">
        <v>0</v>
      </c>
      <c r="O16" s="2">
        <v>44613.583333333336</v>
      </c>
      <c r="P16" s="2">
        <v>44613.625</v>
      </c>
      <c r="Q16" s="2">
        <v>44613.208333333336</v>
      </c>
      <c r="R16" s="2">
        <v>44613.25</v>
      </c>
      <c r="S16" s="0">
        <v>60</v>
      </c>
      <c r="T16" s="0">
        <v>12</v>
      </c>
      <c r="U16" s="0">
        <v>41</v>
      </c>
      <c r="V16" s="0">
        <v>406</v>
      </c>
      <c r="W16" s="1">
        <f>=HYPERLINK("10.175.1.14\MWEB.12\BT\EntityDetails.10.175.1.14.MWEB.12.-connect-ind.406.xlsx", "&lt;Detail&gt;")</f>
      </c>
      <c r="X16" s="1">
        <f>=HYPERLINK("10.175.1.14\MWEB.12\BT\MetricGraphs.BT.10.175.1.14.MWEB.12.xlsx", "&lt;Metrics&gt;")</f>
      </c>
      <c r="Y16" s="1">
        <f>=HYPERLINK("10.175.1.14\MWEB.12\BT\FlameGraph.BT.10.175.1.14.MWEB.12.-connect-ind.406.svg", "&lt;FlGraph&gt;")</f>
      </c>
      <c r="Z16" s="1">
        <f>=HYPERLINK("10.175.1.14\MWEB.12\BT\FlameChart.BT.10.175.1.14.MWEB.12.-connect-ind.406.svg", "&lt;FlChart&gt;")</f>
      </c>
      <c r="AA16" s="0" t="s">
        <v>107</v>
      </c>
      <c r="AB16" s="0" t="s">
        <v>108</v>
      </c>
      <c r="AC16" s="0" t="s">
        <v>130</v>
      </c>
      <c r="AD16" s="0" t="s">
        <v>245</v>
      </c>
      <c r="AE16" s="0" t="s">
        <v>109</v>
      </c>
    </row>
    <row r="17">
      <c r="A17" s="0" t="s">
        <v>28</v>
      </c>
      <c r="B17" s="0" t="s">
        <v>30</v>
      </c>
      <c r="C17" s="0" t="s">
        <v>151</v>
      </c>
      <c r="D17" s="0" t="s">
        <v>244</v>
      </c>
      <c r="E17" s="0" t="s">
        <v>229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 t="b">
        <v>0</v>
      </c>
      <c r="O17" s="2">
        <v>44613.583333333336</v>
      </c>
      <c r="P17" s="2">
        <v>44613.625</v>
      </c>
      <c r="Q17" s="2">
        <v>44613.208333333336</v>
      </c>
      <c r="R17" s="2">
        <v>44613.25</v>
      </c>
      <c r="S17" s="0">
        <v>60</v>
      </c>
      <c r="T17" s="0">
        <v>12</v>
      </c>
      <c r="U17" s="0">
        <v>52</v>
      </c>
      <c r="V17" s="0">
        <v>789</v>
      </c>
      <c r="W17" s="1">
        <f>=HYPERLINK("10.175.1.14\MWEB.12\BT\EntityDetails.10.175.1.14.MWEB.12.-connect-ind.789.xlsx", "&lt;Detail&gt;")</f>
      </c>
      <c r="X17" s="1">
        <f>=HYPERLINK("10.175.1.14\MWEB.12\BT\MetricGraphs.BT.10.175.1.14.MWEB.12.xlsx", "&lt;Metrics&gt;")</f>
      </c>
      <c r="Y17" s="1">
        <f>=HYPERLINK("10.175.1.14\MWEB.12\BT\FlameGraph.BT.10.175.1.14.MWEB.12.-connect-ind.789.svg", "&lt;FlGraph&gt;")</f>
      </c>
      <c r="Z17" s="1">
        <f>=HYPERLINK("10.175.1.14\MWEB.12\BT\FlameChart.BT.10.175.1.14.MWEB.12.-connect-ind.789.svg", "&lt;FlChart&gt;")</f>
      </c>
      <c r="AA17" s="0" t="s">
        <v>107</v>
      </c>
      <c r="AB17" s="0" t="s">
        <v>108</v>
      </c>
      <c r="AC17" s="0" t="s">
        <v>152</v>
      </c>
      <c r="AD17" s="0" t="s">
        <v>246</v>
      </c>
      <c r="AE17" s="0" t="s">
        <v>109</v>
      </c>
    </row>
    <row r="18">
      <c r="A18" s="0" t="s">
        <v>28</v>
      </c>
      <c r="B18" s="0" t="s">
        <v>30</v>
      </c>
      <c r="C18" s="0" t="s">
        <v>133</v>
      </c>
      <c r="D18" s="0" t="s">
        <v>247</v>
      </c>
      <c r="E18" s="0" t="s">
        <v>229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 t="b">
        <v>0</v>
      </c>
      <c r="O18" s="2">
        <v>44613.583333333336</v>
      </c>
      <c r="P18" s="2">
        <v>44613.625</v>
      </c>
      <c r="Q18" s="2">
        <v>44613.208333333336</v>
      </c>
      <c r="R18" s="2">
        <v>44613.25</v>
      </c>
      <c r="S18" s="0">
        <v>60</v>
      </c>
      <c r="T18" s="0">
        <v>12</v>
      </c>
      <c r="U18" s="0">
        <v>36</v>
      </c>
      <c r="V18" s="0">
        <v>317</v>
      </c>
      <c r="W18" s="1">
        <f>=HYPERLINK("10.175.1.14\MWEB.12\BT\EntityDetails.10.175.1.14.MWEB.12.-connect-mob.317.xlsx", "&lt;Detail&gt;")</f>
      </c>
      <c r="X18" s="1">
        <f>=HYPERLINK("10.175.1.14\MWEB.12\BT\MetricGraphs.BT.10.175.1.14.MWEB.12.xlsx", "&lt;Metrics&gt;")</f>
      </c>
      <c r="Y18" s="1">
        <f>=HYPERLINK("10.175.1.14\MWEB.12\BT\FlameGraph.BT.10.175.1.14.MWEB.12.-connect-mob.317.svg", "&lt;FlGraph&gt;")</f>
      </c>
      <c r="Z18" s="1">
        <f>=HYPERLINK("10.175.1.14\MWEB.12\BT\FlameChart.BT.10.175.1.14.MWEB.12.-connect-mob.317.svg", "&lt;FlChart&gt;")</f>
      </c>
      <c r="AA18" s="0" t="s">
        <v>107</v>
      </c>
      <c r="AB18" s="0" t="s">
        <v>108</v>
      </c>
      <c r="AC18" s="0" t="s">
        <v>134</v>
      </c>
      <c r="AD18" s="0" t="s">
        <v>248</v>
      </c>
      <c r="AE18" s="0" t="s">
        <v>109</v>
      </c>
    </row>
    <row r="19">
      <c r="A19" s="0" t="s">
        <v>28</v>
      </c>
      <c r="B19" s="0" t="s">
        <v>30</v>
      </c>
      <c r="C19" s="0" t="s">
        <v>133</v>
      </c>
      <c r="D19" s="0" t="s">
        <v>249</v>
      </c>
      <c r="E19" s="0" t="s">
        <v>229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 t="b">
        <v>0</v>
      </c>
      <c r="O19" s="2">
        <v>44613.583333333336</v>
      </c>
      <c r="P19" s="2">
        <v>44613.625</v>
      </c>
      <c r="Q19" s="2">
        <v>44613.208333333336</v>
      </c>
      <c r="R19" s="2">
        <v>44613.25</v>
      </c>
      <c r="S19" s="0">
        <v>60</v>
      </c>
      <c r="T19" s="0">
        <v>12</v>
      </c>
      <c r="U19" s="0">
        <v>36</v>
      </c>
      <c r="V19" s="0">
        <v>365</v>
      </c>
      <c r="W19" s="1">
        <f>=HYPERLINK("10.175.1.14\MWEB.12\BT\EntityDetails.10.175.1.14.MWEB.12.-connect-red.365.xlsx", "&lt;Detail&gt;")</f>
      </c>
      <c r="X19" s="1">
        <f>=HYPERLINK("10.175.1.14\MWEB.12\BT\MetricGraphs.BT.10.175.1.14.MWEB.12.xlsx", "&lt;Metrics&gt;")</f>
      </c>
      <c r="Y19" s="1">
        <f>=HYPERLINK("10.175.1.14\MWEB.12\BT\FlameGraph.BT.10.175.1.14.MWEB.12.-connect-red.365.svg", "&lt;FlGraph&gt;")</f>
      </c>
      <c r="Z19" s="1">
        <f>=HYPERLINK("10.175.1.14\MWEB.12\BT\FlameChart.BT.10.175.1.14.MWEB.12.-connect-red.365.svg", "&lt;FlChart&gt;")</f>
      </c>
      <c r="AA19" s="0" t="s">
        <v>107</v>
      </c>
      <c r="AB19" s="0" t="s">
        <v>108</v>
      </c>
      <c r="AC19" s="0" t="s">
        <v>134</v>
      </c>
      <c r="AD19" s="0" t="s">
        <v>250</v>
      </c>
      <c r="AE19" s="0" t="s">
        <v>109</v>
      </c>
    </row>
    <row r="20">
      <c r="A20" s="0" t="s">
        <v>28</v>
      </c>
      <c r="B20" s="0" t="s">
        <v>30</v>
      </c>
      <c r="C20" s="0" t="s">
        <v>157</v>
      </c>
      <c r="D20" s="0" t="s">
        <v>251</v>
      </c>
      <c r="E20" s="0" t="s">
        <v>229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 t="b">
        <v>0</v>
      </c>
      <c r="O20" s="2">
        <v>44613.583333333336</v>
      </c>
      <c r="P20" s="2">
        <v>44613.625</v>
      </c>
      <c r="Q20" s="2">
        <v>44613.208333333336</v>
      </c>
      <c r="R20" s="2">
        <v>44613.25</v>
      </c>
      <c r="S20" s="0">
        <v>60</v>
      </c>
      <c r="T20" s="0">
        <v>12</v>
      </c>
      <c r="U20" s="0">
        <v>53</v>
      </c>
      <c r="V20" s="0">
        <v>784</v>
      </c>
      <c r="W20" s="1">
        <f>=HYPERLINK("10.175.1.14\MWEB.12\BT\EntityDetails.10.175.1.14.MWEB.12.-connect-WEB.784.xlsx", "&lt;Detail&gt;")</f>
      </c>
      <c r="X20" s="1">
        <f>=HYPERLINK("10.175.1.14\MWEB.12\BT\MetricGraphs.BT.10.175.1.14.MWEB.12.xlsx", "&lt;Metrics&gt;")</f>
      </c>
      <c r="Y20" s="1">
        <f>=HYPERLINK("10.175.1.14\MWEB.12\BT\FlameGraph.BT.10.175.1.14.MWEB.12.-connect-WEB.784.svg", "&lt;FlGraph&gt;")</f>
      </c>
      <c r="Z20" s="1">
        <f>=HYPERLINK("10.175.1.14\MWEB.12\BT\FlameChart.BT.10.175.1.14.MWEB.12.-connect-WEB.784.svg", "&lt;FlChart&gt;")</f>
      </c>
      <c r="AA20" s="0" t="s">
        <v>107</v>
      </c>
      <c r="AB20" s="0" t="s">
        <v>108</v>
      </c>
      <c r="AC20" s="0" t="s">
        <v>158</v>
      </c>
      <c r="AD20" s="0" t="s">
        <v>252</v>
      </c>
      <c r="AE20" s="0" t="s">
        <v>109</v>
      </c>
    </row>
    <row r="21">
      <c r="A21" s="0" t="s">
        <v>28</v>
      </c>
      <c r="B21" s="0" t="s">
        <v>30</v>
      </c>
      <c r="C21" s="0" t="s">
        <v>125</v>
      </c>
      <c r="D21" s="0" t="s">
        <v>253</v>
      </c>
      <c r="E21" s="0" t="s">
        <v>229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 t="b">
        <v>0</v>
      </c>
      <c r="O21" s="2">
        <v>44613.583333333336</v>
      </c>
      <c r="P21" s="2">
        <v>44613.625</v>
      </c>
      <c r="Q21" s="2">
        <v>44613.208333333336</v>
      </c>
      <c r="R21" s="2">
        <v>44613.25</v>
      </c>
      <c r="S21" s="0">
        <v>60</v>
      </c>
      <c r="T21" s="0">
        <v>12</v>
      </c>
      <c r="U21" s="0">
        <v>42</v>
      </c>
      <c r="V21" s="0">
        <v>437</v>
      </c>
      <c r="W21" s="1">
        <f>=HYPERLINK("10.175.1.14\MWEB.12\BT\EntityDetails.10.175.1.14.MWEB.12.-dms2-Login..437.xlsx", "&lt;Detail&gt;")</f>
      </c>
      <c r="X21" s="1">
        <f>=HYPERLINK("10.175.1.14\MWEB.12\BT\MetricGraphs.BT.10.175.1.14.MWEB.12.xlsx", "&lt;Metrics&gt;")</f>
      </c>
      <c r="Y21" s="1">
        <f>=HYPERLINK("10.175.1.14\MWEB.12\BT\FlameGraph.BT.10.175.1.14.MWEB.12.-dms2-Login..437.svg", "&lt;FlGraph&gt;")</f>
      </c>
      <c r="Z21" s="1">
        <f>=HYPERLINK("10.175.1.14\MWEB.12\BT\FlameChart.BT.10.175.1.14.MWEB.12.-dms2-Login..437.svg", "&lt;FlChart&gt;")</f>
      </c>
      <c r="AA21" s="0" t="s">
        <v>107</v>
      </c>
      <c r="AB21" s="0" t="s">
        <v>108</v>
      </c>
      <c r="AC21" s="0" t="s">
        <v>126</v>
      </c>
      <c r="AD21" s="0" t="s">
        <v>254</v>
      </c>
      <c r="AE21" s="0" t="s">
        <v>109</v>
      </c>
    </row>
    <row r="22">
      <c r="A22" s="0" t="s">
        <v>28</v>
      </c>
      <c r="B22" s="0" t="s">
        <v>30</v>
      </c>
      <c r="C22" s="0" t="s">
        <v>161</v>
      </c>
      <c r="D22" s="0" t="s">
        <v>255</v>
      </c>
      <c r="E22" s="0" t="s">
        <v>223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 t="b">
        <v>0</v>
      </c>
      <c r="O22" s="2">
        <v>44613.583333333336</v>
      </c>
      <c r="P22" s="2">
        <v>44613.625</v>
      </c>
      <c r="Q22" s="2">
        <v>44613.208333333336</v>
      </c>
      <c r="R22" s="2">
        <v>44613.25</v>
      </c>
      <c r="S22" s="0">
        <v>60</v>
      </c>
      <c r="T22" s="0">
        <v>12</v>
      </c>
      <c r="U22" s="0">
        <v>48</v>
      </c>
      <c r="V22" s="0">
        <v>930</v>
      </c>
      <c r="W22" s="1">
        <f>=HYPERLINK("10.175.1.14\MWEB.12\BT\EntityDetails.10.175.1.14.MWEB.12.-file.930.xlsx", "&lt;Detail&gt;")</f>
      </c>
      <c r="X22" s="1">
        <f>=HYPERLINK("10.175.1.14\MWEB.12\BT\MetricGraphs.BT.10.175.1.14.MWEB.12.xlsx", "&lt;Metrics&gt;")</f>
      </c>
      <c r="Y22" s="1">
        <f>=HYPERLINK("10.175.1.14\MWEB.12\BT\FlameGraph.BT.10.175.1.14.MWEB.12.-file.930.svg", "&lt;FlGraph&gt;")</f>
      </c>
      <c r="Z22" s="1">
        <f>=HYPERLINK("10.175.1.14\MWEB.12\BT\FlameChart.BT.10.175.1.14.MWEB.12.-file.930.svg", "&lt;FlChart&gt;")</f>
      </c>
      <c r="AA22" s="0" t="s">
        <v>107</v>
      </c>
      <c r="AB22" s="0" t="s">
        <v>108</v>
      </c>
      <c r="AC22" s="0" t="s">
        <v>162</v>
      </c>
      <c r="AD22" s="0" t="s">
        <v>256</v>
      </c>
      <c r="AE22" s="0" t="s">
        <v>109</v>
      </c>
    </row>
    <row r="23">
      <c r="A23" s="0" t="s">
        <v>28</v>
      </c>
      <c r="B23" s="0" t="s">
        <v>30</v>
      </c>
      <c r="C23" s="0" t="s">
        <v>161</v>
      </c>
      <c r="D23" s="0" t="s">
        <v>257</v>
      </c>
      <c r="E23" s="0" t="s">
        <v>223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 t="b">
        <v>0</v>
      </c>
      <c r="O23" s="2">
        <v>44613.583333333336</v>
      </c>
      <c r="P23" s="2">
        <v>44613.625</v>
      </c>
      <c r="Q23" s="2">
        <v>44613.208333333336</v>
      </c>
      <c r="R23" s="2">
        <v>44613.25</v>
      </c>
      <c r="S23" s="0">
        <v>60</v>
      </c>
      <c r="T23" s="0">
        <v>12</v>
      </c>
      <c r="U23" s="0">
        <v>48</v>
      </c>
      <c r="V23" s="0">
        <v>932</v>
      </c>
      <c r="W23" s="1">
        <f>=HYPERLINK("10.175.1.14\MWEB.12\BT\EntityDetails.10.175.1.14.MWEB.12.-hc-error.932.xlsx", "&lt;Detail&gt;")</f>
      </c>
      <c r="X23" s="1">
        <f>=HYPERLINK("10.175.1.14\MWEB.12\BT\MetricGraphs.BT.10.175.1.14.MWEB.12.xlsx", "&lt;Metrics&gt;")</f>
      </c>
      <c r="Y23" s="1">
        <f>=HYPERLINK("10.175.1.14\MWEB.12\BT\FlameGraph.BT.10.175.1.14.MWEB.12.-hc-error.932.svg", "&lt;FlGraph&gt;")</f>
      </c>
      <c r="Z23" s="1">
        <f>=HYPERLINK("10.175.1.14\MWEB.12\BT\FlameChart.BT.10.175.1.14.MWEB.12.-hc-error.932.svg", "&lt;FlChart&gt;")</f>
      </c>
      <c r="AA23" s="0" t="s">
        <v>107</v>
      </c>
      <c r="AB23" s="0" t="s">
        <v>108</v>
      </c>
      <c r="AC23" s="0" t="s">
        <v>162</v>
      </c>
      <c r="AD23" s="0" t="s">
        <v>258</v>
      </c>
      <c r="AE23" s="0" t="s">
        <v>109</v>
      </c>
    </row>
    <row r="24">
      <c r="A24" s="0" t="s">
        <v>28</v>
      </c>
      <c r="B24" s="0" t="s">
        <v>30</v>
      </c>
      <c r="C24" s="0" t="s">
        <v>139</v>
      </c>
      <c r="D24" s="0" t="s">
        <v>259</v>
      </c>
      <c r="E24" s="0" t="s">
        <v>223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 t="b">
        <v>0</v>
      </c>
      <c r="O24" s="2">
        <v>44613.583333333336</v>
      </c>
      <c r="P24" s="2">
        <v>44613.625</v>
      </c>
      <c r="Q24" s="2">
        <v>44613.208333333336</v>
      </c>
      <c r="R24" s="2">
        <v>44613.25</v>
      </c>
      <c r="S24" s="0">
        <v>60</v>
      </c>
      <c r="T24" s="0">
        <v>12</v>
      </c>
      <c r="U24" s="0">
        <v>35</v>
      </c>
      <c r="V24" s="0">
        <v>336</v>
      </c>
      <c r="W24" s="1">
        <f>=HYPERLINK("10.175.1.14\MWEB.12\BT\EntityDetails.10.175.1.14.MWEB.12.-health_chec.336.xlsx", "&lt;Detail&gt;")</f>
      </c>
      <c r="X24" s="1">
        <f>=HYPERLINK("10.175.1.14\MWEB.12\BT\MetricGraphs.BT.10.175.1.14.MWEB.12.xlsx", "&lt;Metrics&gt;")</f>
      </c>
      <c r="Y24" s="1">
        <f>=HYPERLINK("10.175.1.14\MWEB.12\BT\FlameGraph.BT.10.175.1.14.MWEB.12.-health_chec.336.svg", "&lt;FlGraph&gt;")</f>
      </c>
      <c r="Z24" s="1">
        <f>=HYPERLINK("10.175.1.14\MWEB.12\BT\FlameChart.BT.10.175.1.14.MWEB.12.-health_chec.336.svg", "&lt;FlChart&gt;")</f>
      </c>
      <c r="AA24" s="0" t="s">
        <v>107</v>
      </c>
      <c r="AB24" s="0" t="s">
        <v>108</v>
      </c>
      <c r="AC24" s="0" t="s">
        <v>142</v>
      </c>
      <c r="AD24" s="0" t="s">
        <v>260</v>
      </c>
      <c r="AE24" s="0" t="s">
        <v>109</v>
      </c>
    </row>
    <row r="25">
      <c r="A25" s="0" t="s">
        <v>28</v>
      </c>
      <c r="B25" s="0" t="s">
        <v>30</v>
      </c>
      <c r="C25" s="0" t="s">
        <v>125</v>
      </c>
      <c r="D25" s="0" t="s">
        <v>261</v>
      </c>
      <c r="E25" s="0" t="s">
        <v>229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 t="b">
        <v>0</v>
      </c>
      <c r="O25" s="2">
        <v>44613.583333333336</v>
      </c>
      <c r="P25" s="2">
        <v>44613.625</v>
      </c>
      <c r="Q25" s="2">
        <v>44613.208333333336</v>
      </c>
      <c r="R25" s="2">
        <v>44613.25</v>
      </c>
      <c r="S25" s="0">
        <v>60</v>
      </c>
      <c r="T25" s="0">
        <v>12</v>
      </c>
      <c r="U25" s="0">
        <v>42</v>
      </c>
      <c r="V25" s="0">
        <v>157</v>
      </c>
      <c r="W25" s="1">
        <f>=HYPERLINK("10.175.1.14\MWEB.12\BT\EntityDetails.10.175.1.14.MWEB.12.-HealthMonit.157.xlsx", "&lt;Detail&gt;")</f>
      </c>
      <c r="X25" s="1">
        <f>=HYPERLINK("10.175.1.14\MWEB.12\BT\MetricGraphs.BT.10.175.1.14.MWEB.12.xlsx", "&lt;Metrics&gt;")</f>
      </c>
      <c r="Y25" s="1">
        <f>=HYPERLINK("10.175.1.14\MWEB.12\BT\FlameGraph.BT.10.175.1.14.MWEB.12.-HealthMonit.157.svg", "&lt;FlGraph&gt;")</f>
      </c>
      <c r="Z25" s="1">
        <f>=HYPERLINK("10.175.1.14\MWEB.12\BT\FlameChart.BT.10.175.1.14.MWEB.12.-HealthMonit.157.svg", "&lt;FlChart&gt;")</f>
      </c>
      <c r="AA25" s="0" t="s">
        <v>107</v>
      </c>
      <c r="AB25" s="0" t="s">
        <v>108</v>
      </c>
      <c r="AC25" s="0" t="s">
        <v>126</v>
      </c>
      <c r="AD25" s="0" t="s">
        <v>262</v>
      </c>
      <c r="AE25" s="0" t="s">
        <v>109</v>
      </c>
    </row>
    <row r="26">
      <c r="A26" s="0" t="s">
        <v>28</v>
      </c>
      <c r="B26" s="0" t="s">
        <v>30</v>
      </c>
      <c r="C26" s="0" t="s">
        <v>127</v>
      </c>
      <c r="D26" s="0" t="s">
        <v>261</v>
      </c>
      <c r="E26" s="0" t="s">
        <v>229</v>
      </c>
      <c r="F26" s="0">
        <v>0</v>
      </c>
      <c r="G26" s="0" t="s">
        <v>106</v>
      </c>
      <c r="H26" s="0">
        <v>0</v>
      </c>
      <c r="I26" s="0">
        <v>0</v>
      </c>
      <c r="J26" s="0">
        <v>0</v>
      </c>
      <c r="K26" s="0">
        <v>0</v>
      </c>
      <c r="L26" s="0">
        <v>0</v>
      </c>
      <c r="M26" s="0">
        <v>0</v>
      </c>
      <c r="N26" s="0" t="b">
        <v>0</v>
      </c>
      <c r="O26" s="2">
        <v>44613.583333333336</v>
      </c>
      <c r="P26" s="2">
        <v>44613.625</v>
      </c>
      <c r="Q26" s="2">
        <v>44613.208333333336</v>
      </c>
      <c r="R26" s="2">
        <v>44613.25</v>
      </c>
      <c r="S26" s="0">
        <v>60</v>
      </c>
      <c r="T26" s="0">
        <v>12</v>
      </c>
      <c r="U26" s="0">
        <v>39</v>
      </c>
      <c r="V26" s="0">
        <v>108</v>
      </c>
      <c r="W26" s="1">
        <f>=HYPERLINK("10.175.1.14\MWEB.12\BT\EntityDetails.10.175.1.14.MWEB.12.-HealthMonit.108.xlsx", "&lt;Detail&gt;")</f>
      </c>
      <c r="X26" s="1">
        <f>=HYPERLINK("10.175.1.14\MWEB.12\BT\MetricGraphs.BT.10.175.1.14.MWEB.12.xlsx", "&lt;Metrics&gt;")</f>
      </c>
      <c r="Y26" s="1">
        <f>=HYPERLINK("10.175.1.14\MWEB.12\BT\FlameGraph.BT.10.175.1.14.MWEB.12.-HealthMonit.108.svg", "&lt;FlGraph&gt;")</f>
      </c>
      <c r="Z26" s="1">
        <f>=HYPERLINK("10.175.1.14\MWEB.12\BT\FlameChart.BT.10.175.1.14.MWEB.12.-HealthMonit.108.svg", "&lt;FlChart&gt;")</f>
      </c>
      <c r="AA26" s="0" t="s">
        <v>107</v>
      </c>
      <c r="AB26" s="0" t="s">
        <v>108</v>
      </c>
      <c r="AC26" s="0" t="s">
        <v>128</v>
      </c>
      <c r="AD26" s="0" t="s">
        <v>263</v>
      </c>
      <c r="AE26" s="0" t="s">
        <v>109</v>
      </c>
    </row>
    <row r="27">
      <c r="A27" s="0" t="s">
        <v>28</v>
      </c>
      <c r="B27" s="0" t="s">
        <v>30</v>
      </c>
      <c r="C27" s="0" t="s">
        <v>131</v>
      </c>
      <c r="D27" s="0" t="s">
        <v>261</v>
      </c>
      <c r="E27" s="0" t="s">
        <v>229</v>
      </c>
      <c r="F27" s="0">
        <v>0</v>
      </c>
      <c r="G27" s="0" t="s">
        <v>106</v>
      </c>
      <c r="H27" s="0">
        <v>0</v>
      </c>
      <c r="I27" s="0">
        <v>0</v>
      </c>
      <c r="J27" s="0">
        <v>0</v>
      </c>
      <c r="K27" s="0">
        <v>0</v>
      </c>
      <c r="L27" s="0">
        <v>0</v>
      </c>
      <c r="M27" s="0">
        <v>0</v>
      </c>
      <c r="N27" s="0" t="b">
        <v>0</v>
      </c>
      <c r="O27" s="2">
        <v>44613.583333333336</v>
      </c>
      <c r="P27" s="2">
        <v>44613.625</v>
      </c>
      <c r="Q27" s="2">
        <v>44613.208333333336</v>
      </c>
      <c r="R27" s="2">
        <v>44613.25</v>
      </c>
      <c r="S27" s="0">
        <v>60</v>
      </c>
      <c r="T27" s="0">
        <v>12</v>
      </c>
      <c r="U27" s="0">
        <v>40</v>
      </c>
      <c r="V27" s="0">
        <v>234</v>
      </c>
      <c r="W27" s="1">
        <f>=HYPERLINK("10.175.1.14\MWEB.12\BT\EntityDetails.10.175.1.14.MWEB.12.-HealthMonit.234.xlsx", "&lt;Detail&gt;")</f>
      </c>
      <c r="X27" s="1">
        <f>=HYPERLINK("10.175.1.14\MWEB.12\BT\MetricGraphs.BT.10.175.1.14.MWEB.12.xlsx", "&lt;Metrics&gt;")</f>
      </c>
      <c r="Y27" s="1">
        <f>=HYPERLINK("10.175.1.14\MWEB.12\BT\FlameGraph.BT.10.175.1.14.MWEB.12.-HealthMonit.234.svg", "&lt;FlGraph&gt;")</f>
      </c>
      <c r="Z27" s="1">
        <f>=HYPERLINK("10.175.1.14\MWEB.12\BT\FlameChart.BT.10.175.1.14.MWEB.12.-HealthMonit.234.svg", "&lt;FlChart&gt;")</f>
      </c>
      <c r="AA27" s="0" t="s">
        <v>107</v>
      </c>
      <c r="AB27" s="0" t="s">
        <v>108</v>
      </c>
      <c r="AC27" s="0" t="s">
        <v>132</v>
      </c>
      <c r="AD27" s="0" t="s">
        <v>264</v>
      </c>
      <c r="AE27" s="0" t="s">
        <v>109</v>
      </c>
    </row>
    <row r="28">
      <c r="A28" s="0" t="s">
        <v>28</v>
      </c>
      <c r="B28" s="0" t="s">
        <v>30</v>
      </c>
      <c r="C28" s="0" t="s">
        <v>133</v>
      </c>
      <c r="D28" s="0" t="s">
        <v>261</v>
      </c>
      <c r="E28" s="0" t="s">
        <v>229</v>
      </c>
      <c r="F28" s="0">
        <v>0</v>
      </c>
      <c r="G28" s="0" t="s">
        <v>106</v>
      </c>
      <c r="H28" s="0">
        <v>0</v>
      </c>
      <c r="I28" s="0">
        <v>0</v>
      </c>
      <c r="J28" s="0">
        <v>0</v>
      </c>
      <c r="K28" s="0">
        <v>0</v>
      </c>
      <c r="L28" s="0">
        <v>0</v>
      </c>
      <c r="M28" s="0">
        <v>0</v>
      </c>
      <c r="N28" s="0" t="b">
        <v>0</v>
      </c>
      <c r="O28" s="2">
        <v>44613.583333333336</v>
      </c>
      <c r="P28" s="2">
        <v>44613.625</v>
      </c>
      <c r="Q28" s="2">
        <v>44613.208333333336</v>
      </c>
      <c r="R28" s="2">
        <v>44613.25</v>
      </c>
      <c r="S28" s="0">
        <v>60</v>
      </c>
      <c r="T28" s="0">
        <v>12</v>
      </c>
      <c r="U28" s="0">
        <v>36</v>
      </c>
      <c r="V28" s="0">
        <v>158</v>
      </c>
      <c r="W28" s="1">
        <f>=HYPERLINK("10.175.1.14\MWEB.12\BT\EntityDetails.10.175.1.14.MWEB.12.-HealthMonit.158.xlsx", "&lt;Detail&gt;")</f>
      </c>
      <c r="X28" s="1">
        <f>=HYPERLINK("10.175.1.14\MWEB.12\BT\MetricGraphs.BT.10.175.1.14.MWEB.12.xlsx", "&lt;Metrics&gt;")</f>
      </c>
      <c r="Y28" s="1">
        <f>=HYPERLINK("10.175.1.14\MWEB.12\BT\FlameGraph.BT.10.175.1.14.MWEB.12.-HealthMonit.158.svg", "&lt;FlGraph&gt;")</f>
      </c>
      <c r="Z28" s="1">
        <f>=HYPERLINK("10.175.1.14\MWEB.12\BT\FlameChart.BT.10.175.1.14.MWEB.12.-HealthMonit.158.svg", "&lt;FlChart&gt;")</f>
      </c>
      <c r="AA28" s="0" t="s">
        <v>107</v>
      </c>
      <c r="AB28" s="0" t="s">
        <v>108</v>
      </c>
      <c r="AC28" s="0" t="s">
        <v>134</v>
      </c>
      <c r="AD28" s="0" t="s">
        <v>265</v>
      </c>
      <c r="AE28" s="0" t="s">
        <v>109</v>
      </c>
    </row>
    <row r="29">
      <c r="A29" s="0" t="s">
        <v>28</v>
      </c>
      <c r="B29" s="0" t="s">
        <v>30</v>
      </c>
      <c r="C29" s="0" t="s">
        <v>135</v>
      </c>
      <c r="D29" s="0" t="s">
        <v>261</v>
      </c>
      <c r="E29" s="0" t="s">
        <v>229</v>
      </c>
      <c r="F29" s="0">
        <v>0</v>
      </c>
      <c r="G29" s="0" t="s">
        <v>106</v>
      </c>
      <c r="H29" s="0">
        <v>0</v>
      </c>
      <c r="I29" s="0">
        <v>0</v>
      </c>
      <c r="J29" s="0">
        <v>0</v>
      </c>
      <c r="K29" s="0">
        <v>0</v>
      </c>
      <c r="L29" s="0">
        <v>0</v>
      </c>
      <c r="M29" s="0">
        <v>0</v>
      </c>
      <c r="N29" s="0" t="b">
        <v>0</v>
      </c>
      <c r="O29" s="2">
        <v>44613.583333333336</v>
      </c>
      <c r="P29" s="2">
        <v>44613.625</v>
      </c>
      <c r="Q29" s="2">
        <v>44613.208333333336</v>
      </c>
      <c r="R29" s="2">
        <v>44613.25</v>
      </c>
      <c r="S29" s="0">
        <v>60</v>
      </c>
      <c r="T29" s="0">
        <v>12</v>
      </c>
      <c r="U29" s="0">
        <v>37</v>
      </c>
      <c r="V29" s="0">
        <v>207</v>
      </c>
      <c r="W29" s="1">
        <f>=HYPERLINK("10.175.1.14\MWEB.12\BT\EntityDetails.10.175.1.14.MWEB.12.-HealthMonit.207.xlsx", "&lt;Detail&gt;")</f>
      </c>
      <c r="X29" s="1">
        <f>=HYPERLINK("10.175.1.14\MWEB.12\BT\MetricGraphs.BT.10.175.1.14.MWEB.12.xlsx", "&lt;Metrics&gt;")</f>
      </c>
      <c r="Y29" s="1">
        <f>=HYPERLINK("10.175.1.14\MWEB.12\BT\FlameGraph.BT.10.175.1.14.MWEB.12.-HealthMonit.207.svg", "&lt;FlGraph&gt;")</f>
      </c>
      <c r="Z29" s="1">
        <f>=HYPERLINK("10.175.1.14\MWEB.12\BT\FlameChart.BT.10.175.1.14.MWEB.12.-HealthMonit.207.svg", "&lt;FlChart&gt;")</f>
      </c>
      <c r="AA29" s="0" t="s">
        <v>107</v>
      </c>
      <c r="AB29" s="0" t="s">
        <v>108</v>
      </c>
      <c r="AC29" s="0" t="s">
        <v>136</v>
      </c>
      <c r="AD29" s="0" t="s">
        <v>266</v>
      </c>
      <c r="AE29" s="0" t="s">
        <v>109</v>
      </c>
    </row>
    <row r="30">
      <c r="A30" s="0" t="s">
        <v>28</v>
      </c>
      <c r="B30" s="0" t="s">
        <v>30</v>
      </c>
      <c r="C30" s="0" t="s">
        <v>137</v>
      </c>
      <c r="D30" s="0" t="s">
        <v>261</v>
      </c>
      <c r="E30" s="0" t="s">
        <v>229</v>
      </c>
      <c r="F30" s="0">
        <v>0</v>
      </c>
      <c r="G30" s="0" t="s">
        <v>106</v>
      </c>
      <c r="H30" s="0">
        <v>0</v>
      </c>
      <c r="I30" s="0">
        <v>0</v>
      </c>
      <c r="J30" s="0">
        <v>0</v>
      </c>
      <c r="K30" s="0">
        <v>0</v>
      </c>
      <c r="L30" s="0">
        <v>0</v>
      </c>
      <c r="M30" s="0">
        <v>0</v>
      </c>
      <c r="N30" s="0" t="b">
        <v>0</v>
      </c>
      <c r="O30" s="2">
        <v>44613.583333333336</v>
      </c>
      <c r="P30" s="2">
        <v>44613.625</v>
      </c>
      <c r="Q30" s="2">
        <v>44613.208333333336</v>
      </c>
      <c r="R30" s="2">
        <v>44613.25</v>
      </c>
      <c r="S30" s="0">
        <v>60</v>
      </c>
      <c r="T30" s="0">
        <v>12</v>
      </c>
      <c r="U30" s="0">
        <v>38</v>
      </c>
      <c r="V30" s="0">
        <v>208</v>
      </c>
      <c r="W30" s="1">
        <f>=HYPERLINK("10.175.1.14\MWEB.12\BT\EntityDetails.10.175.1.14.MWEB.12.-HealthMonit.208.xlsx", "&lt;Detail&gt;")</f>
      </c>
      <c r="X30" s="1">
        <f>=HYPERLINK("10.175.1.14\MWEB.12\BT\MetricGraphs.BT.10.175.1.14.MWEB.12.xlsx", "&lt;Metrics&gt;")</f>
      </c>
      <c r="Y30" s="1">
        <f>=HYPERLINK("10.175.1.14\MWEB.12\BT\FlameGraph.BT.10.175.1.14.MWEB.12.-HealthMonit.208.svg", "&lt;FlGraph&gt;")</f>
      </c>
      <c r="Z30" s="1">
        <f>=HYPERLINK("10.175.1.14\MWEB.12\BT\FlameChart.BT.10.175.1.14.MWEB.12.-HealthMonit.208.svg", "&lt;FlChart&gt;")</f>
      </c>
      <c r="AA30" s="0" t="s">
        <v>107</v>
      </c>
      <c r="AB30" s="0" t="s">
        <v>108</v>
      </c>
      <c r="AC30" s="0" t="s">
        <v>138</v>
      </c>
      <c r="AD30" s="0" t="s">
        <v>267</v>
      </c>
      <c r="AE30" s="0" t="s">
        <v>109</v>
      </c>
    </row>
    <row r="31">
      <c r="A31" s="0" t="s">
        <v>28</v>
      </c>
      <c r="B31" s="0" t="s">
        <v>30</v>
      </c>
      <c r="C31" s="0" t="s">
        <v>147</v>
      </c>
      <c r="D31" s="0" t="s">
        <v>261</v>
      </c>
      <c r="E31" s="0" t="s">
        <v>229</v>
      </c>
      <c r="F31" s="0">
        <v>0</v>
      </c>
      <c r="G31" s="0" t="s">
        <v>106</v>
      </c>
      <c r="H31" s="0">
        <v>0</v>
      </c>
      <c r="I31" s="0">
        <v>0</v>
      </c>
      <c r="J31" s="0">
        <v>0</v>
      </c>
      <c r="K31" s="0">
        <v>0</v>
      </c>
      <c r="L31" s="0">
        <v>0</v>
      </c>
      <c r="M31" s="0">
        <v>0</v>
      </c>
      <c r="N31" s="0" t="b">
        <v>0</v>
      </c>
      <c r="O31" s="2">
        <v>44613.583333333336</v>
      </c>
      <c r="P31" s="2">
        <v>44613.625</v>
      </c>
      <c r="Q31" s="2">
        <v>44613.208333333336</v>
      </c>
      <c r="R31" s="2">
        <v>44613.25</v>
      </c>
      <c r="S31" s="0">
        <v>60</v>
      </c>
      <c r="T31" s="0">
        <v>12</v>
      </c>
      <c r="U31" s="0">
        <v>49</v>
      </c>
      <c r="V31" s="0">
        <v>702</v>
      </c>
      <c r="W31" s="1">
        <f>=HYPERLINK("10.175.1.14\MWEB.12\BT\EntityDetails.10.175.1.14.MWEB.12.-HealthMonit.702.xlsx", "&lt;Detail&gt;")</f>
      </c>
      <c r="X31" s="1">
        <f>=HYPERLINK("10.175.1.14\MWEB.12\BT\MetricGraphs.BT.10.175.1.14.MWEB.12.xlsx", "&lt;Metrics&gt;")</f>
      </c>
      <c r="Y31" s="1">
        <f>=HYPERLINK("10.175.1.14\MWEB.12\BT\FlameGraph.BT.10.175.1.14.MWEB.12.-HealthMonit.702.svg", "&lt;FlGraph&gt;")</f>
      </c>
      <c r="Z31" s="1">
        <f>=HYPERLINK("10.175.1.14\MWEB.12\BT\FlameChart.BT.10.175.1.14.MWEB.12.-HealthMonit.702.svg", "&lt;FlChart&gt;")</f>
      </c>
      <c r="AA31" s="0" t="s">
        <v>107</v>
      </c>
      <c r="AB31" s="0" t="s">
        <v>108</v>
      </c>
      <c r="AC31" s="0" t="s">
        <v>148</v>
      </c>
      <c r="AD31" s="0" t="s">
        <v>268</v>
      </c>
      <c r="AE31" s="0" t="s">
        <v>109</v>
      </c>
    </row>
    <row r="32">
      <c r="A32" s="0" t="s">
        <v>28</v>
      </c>
      <c r="B32" s="0" t="s">
        <v>30</v>
      </c>
      <c r="C32" s="0" t="s">
        <v>149</v>
      </c>
      <c r="D32" s="0" t="s">
        <v>261</v>
      </c>
      <c r="E32" s="0" t="s">
        <v>229</v>
      </c>
      <c r="F32" s="0">
        <v>0</v>
      </c>
      <c r="G32" s="0" t="s">
        <v>106</v>
      </c>
      <c r="H32" s="0">
        <v>0</v>
      </c>
      <c r="I32" s="0">
        <v>0</v>
      </c>
      <c r="J32" s="0">
        <v>0</v>
      </c>
      <c r="K32" s="0">
        <v>0</v>
      </c>
      <c r="L32" s="0">
        <v>0</v>
      </c>
      <c r="M32" s="0">
        <v>0</v>
      </c>
      <c r="N32" s="0" t="b">
        <v>0</v>
      </c>
      <c r="O32" s="2">
        <v>44613.583333333336</v>
      </c>
      <c r="P32" s="2">
        <v>44613.625</v>
      </c>
      <c r="Q32" s="2">
        <v>44613.208333333336</v>
      </c>
      <c r="R32" s="2">
        <v>44613.25</v>
      </c>
      <c r="S32" s="0">
        <v>60</v>
      </c>
      <c r="T32" s="0">
        <v>12</v>
      </c>
      <c r="U32" s="0">
        <v>50</v>
      </c>
      <c r="V32" s="0">
        <v>700</v>
      </c>
      <c r="W32" s="1">
        <f>=HYPERLINK("10.175.1.14\MWEB.12\BT\EntityDetails.10.175.1.14.MWEB.12.-HealthMonit.700.xlsx", "&lt;Detail&gt;")</f>
      </c>
      <c r="X32" s="1">
        <f>=HYPERLINK("10.175.1.14\MWEB.12\BT\MetricGraphs.BT.10.175.1.14.MWEB.12.xlsx", "&lt;Metrics&gt;")</f>
      </c>
      <c r="Y32" s="1">
        <f>=HYPERLINK("10.175.1.14\MWEB.12\BT\FlameGraph.BT.10.175.1.14.MWEB.12.-HealthMonit.700.svg", "&lt;FlGraph&gt;")</f>
      </c>
      <c r="Z32" s="1">
        <f>=HYPERLINK("10.175.1.14\MWEB.12\BT\FlameChart.BT.10.175.1.14.MWEB.12.-HealthMonit.700.svg", "&lt;FlChart&gt;")</f>
      </c>
      <c r="AA32" s="0" t="s">
        <v>107</v>
      </c>
      <c r="AB32" s="0" t="s">
        <v>108</v>
      </c>
      <c r="AC32" s="0" t="s">
        <v>150</v>
      </c>
      <c r="AD32" s="0" t="s">
        <v>269</v>
      </c>
      <c r="AE32" s="0" t="s">
        <v>109</v>
      </c>
    </row>
    <row r="33">
      <c r="A33" s="0" t="s">
        <v>28</v>
      </c>
      <c r="B33" s="0" t="s">
        <v>30</v>
      </c>
      <c r="C33" s="0" t="s">
        <v>153</v>
      </c>
      <c r="D33" s="0" t="s">
        <v>261</v>
      </c>
      <c r="E33" s="0" t="s">
        <v>229</v>
      </c>
      <c r="F33" s="0">
        <v>0</v>
      </c>
      <c r="G33" s="0" t="s">
        <v>106</v>
      </c>
      <c r="H33" s="0">
        <v>0</v>
      </c>
      <c r="I33" s="0">
        <v>0</v>
      </c>
      <c r="J33" s="0">
        <v>0</v>
      </c>
      <c r="K33" s="0">
        <v>0</v>
      </c>
      <c r="L33" s="0">
        <v>0</v>
      </c>
      <c r="M33" s="0">
        <v>0</v>
      </c>
      <c r="N33" s="0" t="b">
        <v>0</v>
      </c>
      <c r="O33" s="2">
        <v>44613.583333333336</v>
      </c>
      <c r="P33" s="2">
        <v>44613.625</v>
      </c>
      <c r="Q33" s="2">
        <v>44613.208333333336</v>
      </c>
      <c r="R33" s="2">
        <v>44613.25</v>
      </c>
      <c r="S33" s="0">
        <v>60</v>
      </c>
      <c r="T33" s="0">
        <v>12</v>
      </c>
      <c r="U33" s="0">
        <v>51</v>
      </c>
      <c r="V33" s="0">
        <v>699</v>
      </c>
      <c r="W33" s="1">
        <f>=HYPERLINK("10.175.1.14\MWEB.12\BT\EntityDetails.10.175.1.14.MWEB.12.-HealthMonit.699.xlsx", "&lt;Detail&gt;")</f>
      </c>
      <c r="X33" s="1">
        <f>=HYPERLINK("10.175.1.14\MWEB.12\BT\MetricGraphs.BT.10.175.1.14.MWEB.12.xlsx", "&lt;Metrics&gt;")</f>
      </c>
      <c r="Y33" s="1">
        <f>=HYPERLINK("10.175.1.14\MWEB.12\BT\FlameGraph.BT.10.175.1.14.MWEB.12.-HealthMonit.699.svg", "&lt;FlGraph&gt;")</f>
      </c>
      <c r="Z33" s="1">
        <f>=HYPERLINK("10.175.1.14\MWEB.12\BT\FlameChart.BT.10.175.1.14.MWEB.12.-HealthMonit.699.svg", "&lt;FlChart&gt;")</f>
      </c>
      <c r="AA33" s="0" t="s">
        <v>107</v>
      </c>
      <c r="AB33" s="0" t="s">
        <v>108</v>
      </c>
      <c r="AC33" s="0" t="s">
        <v>154</v>
      </c>
      <c r="AD33" s="0" t="s">
        <v>270</v>
      </c>
      <c r="AE33" s="0" t="s">
        <v>109</v>
      </c>
    </row>
    <row r="34">
      <c r="A34" s="0" t="s">
        <v>28</v>
      </c>
      <c r="B34" s="0" t="s">
        <v>30</v>
      </c>
      <c r="C34" s="0" t="s">
        <v>157</v>
      </c>
      <c r="D34" s="0" t="s">
        <v>261</v>
      </c>
      <c r="E34" s="0" t="s">
        <v>229</v>
      </c>
      <c r="F34" s="0">
        <v>0</v>
      </c>
      <c r="G34" s="0" t="s">
        <v>106</v>
      </c>
      <c r="H34" s="0">
        <v>0</v>
      </c>
      <c r="I34" s="0">
        <v>0</v>
      </c>
      <c r="J34" s="0">
        <v>0</v>
      </c>
      <c r="K34" s="0">
        <v>0</v>
      </c>
      <c r="L34" s="0">
        <v>0</v>
      </c>
      <c r="M34" s="0">
        <v>0</v>
      </c>
      <c r="N34" s="0" t="b">
        <v>0</v>
      </c>
      <c r="O34" s="2">
        <v>44613.583333333336</v>
      </c>
      <c r="P34" s="2">
        <v>44613.625</v>
      </c>
      <c r="Q34" s="2">
        <v>44613.208333333336</v>
      </c>
      <c r="R34" s="2">
        <v>44613.25</v>
      </c>
      <c r="S34" s="0">
        <v>60</v>
      </c>
      <c r="T34" s="0">
        <v>12</v>
      </c>
      <c r="U34" s="0">
        <v>53</v>
      </c>
      <c r="V34" s="0">
        <v>696</v>
      </c>
      <c r="W34" s="1">
        <f>=HYPERLINK("10.175.1.14\MWEB.12\BT\EntityDetails.10.175.1.14.MWEB.12.-HealthMonit.696.xlsx", "&lt;Detail&gt;")</f>
      </c>
      <c r="X34" s="1">
        <f>=HYPERLINK("10.175.1.14\MWEB.12\BT\MetricGraphs.BT.10.175.1.14.MWEB.12.xlsx", "&lt;Metrics&gt;")</f>
      </c>
      <c r="Y34" s="1">
        <f>=HYPERLINK("10.175.1.14\MWEB.12\BT\FlameGraph.BT.10.175.1.14.MWEB.12.-HealthMonit.696.svg", "&lt;FlGraph&gt;")</f>
      </c>
      <c r="Z34" s="1">
        <f>=HYPERLINK("10.175.1.14\MWEB.12\BT\FlameChart.BT.10.175.1.14.MWEB.12.-HealthMonit.696.svg", "&lt;FlChart&gt;")</f>
      </c>
      <c r="AA34" s="0" t="s">
        <v>107</v>
      </c>
      <c r="AB34" s="0" t="s">
        <v>108</v>
      </c>
      <c r="AC34" s="0" t="s">
        <v>158</v>
      </c>
      <c r="AD34" s="0" t="s">
        <v>271</v>
      </c>
      <c r="AE34" s="0" t="s">
        <v>109</v>
      </c>
    </row>
    <row r="35">
      <c r="A35" s="0" t="s">
        <v>28</v>
      </c>
      <c r="B35" s="0" t="s">
        <v>30</v>
      </c>
      <c r="C35" s="0" t="s">
        <v>161</v>
      </c>
      <c r="D35" s="0" t="s">
        <v>272</v>
      </c>
      <c r="E35" s="0" t="s">
        <v>223</v>
      </c>
      <c r="F35" s="0">
        <v>0</v>
      </c>
      <c r="G35" s="0" t="s">
        <v>106</v>
      </c>
      <c r="H35" s="0">
        <v>0</v>
      </c>
      <c r="I35" s="0">
        <v>0</v>
      </c>
      <c r="J35" s="0">
        <v>0</v>
      </c>
      <c r="K35" s="0">
        <v>0</v>
      </c>
      <c r="L35" s="0">
        <v>0</v>
      </c>
      <c r="M35" s="0">
        <v>0</v>
      </c>
      <c r="N35" s="0" t="b">
        <v>0</v>
      </c>
      <c r="O35" s="2">
        <v>44613.583333333336</v>
      </c>
      <c r="P35" s="2">
        <v>44613.625</v>
      </c>
      <c r="Q35" s="2">
        <v>44613.208333333336</v>
      </c>
      <c r="R35" s="2">
        <v>44613.25</v>
      </c>
      <c r="S35" s="0">
        <v>60</v>
      </c>
      <c r="T35" s="0">
        <v>12</v>
      </c>
      <c r="U35" s="0">
        <v>48</v>
      </c>
      <c r="V35" s="0">
        <v>927</v>
      </c>
      <c r="W35" s="1">
        <f>=HYPERLINK("10.175.1.14\MWEB.12\BT\EntityDetails.10.175.1.14.MWEB.12.-html-nhome..927.xlsx", "&lt;Detail&gt;")</f>
      </c>
      <c r="X35" s="1">
        <f>=HYPERLINK("10.175.1.14\MWEB.12\BT\MetricGraphs.BT.10.175.1.14.MWEB.12.xlsx", "&lt;Metrics&gt;")</f>
      </c>
      <c r="Y35" s="1">
        <f>=HYPERLINK("10.175.1.14\MWEB.12\BT\FlameGraph.BT.10.175.1.14.MWEB.12.-html-nhome..927.svg", "&lt;FlGraph&gt;")</f>
      </c>
      <c r="Z35" s="1">
        <f>=HYPERLINK("10.175.1.14\MWEB.12\BT\FlameChart.BT.10.175.1.14.MWEB.12.-html-nhome..927.svg", "&lt;FlChart&gt;")</f>
      </c>
      <c r="AA35" s="0" t="s">
        <v>107</v>
      </c>
      <c r="AB35" s="0" t="s">
        <v>108</v>
      </c>
      <c r="AC35" s="0" t="s">
        <v>162</v>
      </c>
      <c r="AD35" s="0" t="s">
        <v>273</v>
      </c>
      <c r="AE35" s="0" t="s">
        <v>109</v>
      </c>
    </row>
    <row r="36">
      <c r="A36" s="0" t="s">
        <v>28</v>
      </c>
      <c r="B36" s="0" t="s">
        <v>30</v>
      </c>
      <c r="C36" s="0" t="s">
        <v>139</v>
      </c>
      <c r="D36" s="0" t="s">
        <v>274</v>
      </c>
      <c r="E36" s="0" t="s">
        <v>223</v>
      </c>
      <c r="F36" s="0">
        <v>0</v>
      </c>
      <c r="G36" s="0" t="s">
        <v>106</v>
      </c>
      <c r="H36" s="0">
        <v>0</v>
      </c>
      <c r="I36" s="0">
        <v>0</v>
      </c>
      <c r="J36" s="0">
        <v>0</v>
      </c>
      <c r="K36" s="0">
        <v>0</v>
      </c>
      <c r="L36" s="0">
        <v>0</v>
      </c>
      <c r="M36" s="0">
        <v>0</v>
      </c>
      <c r="N36" s="0" t="b">
        <v>0</v>
      </c>
      <c r="O36" s="2">
        <v>44613.583333333336</v>
      </c>
      <c r="P36" s="2">
        <v>44613.625</v>
      </c>
      <c r="Q36" s="2">
        <v>44613.208333333336</v>
      </c>
      <c r="R36" s="2">
        <v>44613.25</v>
      </c>
      <c r="S36" s="0">
        <v>60</v>
      </c>
      <c r="T36" s="0">
        <v>12</v>
      </c>
      <c r="U36" s="0">
        <v>35</v>
      </c>
      <c r="V36" s="0">
        <v>441</v>
      </c>
      <c r="W36" s="1">
        <f>=HYPERLINK("10.175.1.14\MWEB.12\BT\EntityDetails.10.175.1.14.MWEB.12.-index.html.441.xlsx", "&lt;Detail&gt;")</f>
      </c>
      <c r="X36" s="1">
        <f>=HYPERLINK("10.175.1.14\MWEB.12\BT\MetricGraphs.BT.10.175.1.14.MWEB.12.xlsx", "&lt;Metrics&gt;")</f>
      </c>
      <c r="Y36" s="1">
        <f>=HYPERLINK("10.175.1.14\MWEB.12\BT\FlameGraph.BT.10.175.1.14.MWEB.12.-index.html.441.svg", "&lt;FlGraph&gt;")</f>
      </c>
      <c r="Z36" s="1">
        <f>=HYPERLINK("10.175.1.14\MWEB.12\BT\FlameChart.BT.10.175.1.14.MWEB.12.-index.html.441.svg", "&lt;FlChart&gt;")</f>
      </c>
      <c r="AA36" s="0" t="s">
        <v>107</v>
      </c>
      <c r="AB36" s="0" t="s">
        <v>108</v>
      </c>
      <c r="AC36" s="0" t="s">
        <v>142</v>
      </c>
      <c r="AD36" s="0" t="s">
        <v>275</v>
      </c>
      <c r="AE36" s="0" t="s">
        <v>109</v>
      </c>
    </row>
    <row r="37">
      <c r="A37" s="0" t="s">
        <v>28</v>
      </c>
      <c r="B37" s="0" t="s">
        <v>30</v>
      </c>
      <c r="C37" s="0" t="s">
        <v>139</v>
      </c>
      <c r="D37" s="0" t="s">
        <v>276</v>
      </c>
      <c r="E37" s="0" t="s">
        <v>223</v>
      </c>
      <c r="F37" s="0">
        <v>0</v>
      </c>
      <c r="G37" s="0" t="s">
        <v>106</v>
      </c>
      <c r="H37" s="0">
        <v>0</v>
      </c>
      <c r="I37" s="0">
        <v>0</v>
      </c>
      <c r="J37" s="0">
        <v>0</v>
      </c>
      <c r="K37" s="0">
        <v>0</v>
      </c>
      <c r="L37" s="0">
        <v>0</v>
      </c>
      <c r="M37" s="0">
        <v>0</v>
      </c>
      <c r="N37" s="0" t="b">
        <v>0</v>
      </c>
      <c r="O37" s="2">
        <v>44613.583333333336</v>
      </c>
      <c r="P37" s="2">
        <v>44613.625</v>
      </c>
      <c r="Q37" s="2">
        <v>44613.208333333336</v>
      </c>
      <c r="R37" s="2">
        <v>44613.25</v>
      </c>
      <c r="S37" s="0">
        <v>60</v>
      </c>
      <c r="T37" s="0">
        <v>12</v>
      </c>
      <c r="U37" s="0">
        <v>35</v>
      </c>
      <c r="V37" s="0">
        <v>479</v>
      </c>
      <c r="W37" s="1">
        <f>=HYPERLINK("10.175.1.14\MWEB.12\BT\EntityDetails.10.175.1.14.MWEB.12.-index.php.479.xlsx", "&lt;Detail&gt;")</f>
      </c>
      <c r="X37" s="1">
        <f>=HYPERLINK("10.175.1.14\MWEB.12\BT\MetricGraphs.BT.10.175.1.14.MWEB.12.xlsx", "&lt;Metrics&gt;")</f>
      </c>
      <c r="Y37" s="1">
        <f>=HYPERLINK("10.175.1.14\MWEB.12\BT\FlameGraph.BT.10.175.1.14.MWEB.12.-index.php.479.svg", "&lt;FlGraph&gt;")</f>
      </c>
      <c r="Z37" s="1">
        <f>=HYPERLINK("10.175.1.14\MWEB.12\BT\FlameChart.BT.10.175.1.14.MWEB.12.-index.php.479.svg", "&lt;FlChart&gt;")</f>
      </c>
      <c r="AA37" s="0" t="s">
        <v>107</v>
      </c>
      <c r="AB37" s="0" t="s">
        <v>108</v>
      </c>
      <c r="AC37" s="0" t="s">
        <v>142</v>
      </c>
      <c r="AD37" s="0" t="s">
        <v>277</v>
      </c>
      <c r="AE37" s="0" t="s">
        <v>109</v>
      </c>
    </row>
    <row r="38">
      <c r="A38" s="0" t="s">
        <v>28</v>
      </c>
      <c r="B38" s="0" t="s">
        <v>30</v>
      </c>
      <c r="C38" s="0" t="s">
        <v>161</v>
      </c>
      <c r="D38" s="0" t="s">
        <v>276</v>
      </c>
      <c r="E38" s="0" t="s">
        <v>223</v>
      </c>
      <c r="F38" s="0">
        <v>0</v>
      </c>
      <c r="G38" s="0" t="s">
        <v>106</v>
      </c>
      <c r="H38" s="0">
        <v>0</v>
      </c>
      <c r="I38" s="0">
        <v>0</v>
      </c>
      <c r="J38" s="0">
        <v>0</v>
      </c>
      <c r="K38" s="0">
        <v>0</v>
      </c>
      <c r="L38" s="0">
        <v>0</v>
      </c>
      <c r="M38" s="0">
        <v>0</v>
      </c>
      <c r="N38" s="0" t="b">
        <v>0</v>
      </c>
      <c r="O38" s="2">
        <v>44613.583333333336</v>
      </c>
      <c r="P38" s="2">
        <v>44613.625</v>
      </c>
      <c r="Q38" s="2">
        <v>44613.208333333336</v>
      </c>
      <c r="R38" s="2">
        <v>44613.25</v>
      </c>
      <c r="S38" s="0">
        <v>60</v>
      </c>
      <c r="T38" s="0">
        <v>12</v>
      </c>
      <c r="U38" s="0">
        <v>48</v>
      </c>
      <c r="V38" s="0">
        <v>929</v>
      </c>
      <c r="W38" s="1">
        <f>=HYPERLINK("10.175.1.14\MWEB.12\BT\EntityDetails.10.175.1.14.MWEB.12.-index.php.929.xlsx", "&lt;Detail&gt;")</f>
      </c>
      <c r="X38" s="1">
        <f>=HYPERLINK("10.175.1.14\MWEB.12\BT\MetricGraphs.BT.10.175.1.14.MWEB.12.xlsx", "&lt;Metrics&gt;")</f>
      </c>
      <c r="Y38" s="1">
        <f>=HYPERLINK("10.175.1.14\MWEB.12\BT\FlameGraph.BT.10.175.1.14.MWEB.12.-index.php.929.svg", "&lt;FlGraph&gt;")</f>
      </c>
      <c r="Z38" s="1">
        <f>=HYPERLINK("10.175.1.14\MWEB.12\BT\FlameChart.BT.10.175.1.14.MWEB.12.-index.php.929.svg", "&lt;FlChart&gt;")</f>
      </c>
      <c r="AA38" s="0" t="s">
        <v>107</v>
      </c>
      <c r="AB38" s="0" t="s">
        <v>108</v>
      </c>
      <c r="AC38" s="0" t="s">
        <v>162</v>
      </c>
      <c r="AD38" s="0" t="s">
        <v>278</v>
      </c>
      <c r="AE38" s="0" t="s">
        <v>109</v>
      </c>
    </row>
    <row r="39">
      <c r="A39" s="0" t="s">
        <v>28</v>
      </c>
      <c r="B39" s="0" t="s">
        <v>30</v>
      </c>
      <c r="C39" s="0" t="s">
        <v>125</v>
      </c>
      <c r="D39" s="0" t="s">
        <v>279</v>
      </c>
      <c r="E39" s="0" t="s">
        <v>229</v>
      </c>
      <c r="F39" s="0">
        <v>0</v>
      </c>
      <c r="G39" s="0" t="s">
        <v>106</v>
      </c>
      <c r="H39" s="0">
        <v>0</v>
      </c>
      <c r="I39" s="0">
        <v>0</v>
      </c>
      <c r="J39" s="0">
        <v>0</v>
      </c>
      <c r="K39" s="0">
        <v>0</v>
      </c>
      <c r="L39" s="0">
        <v>0</v>
      </c>
      <c r="M39" s="0">
        <v>0</v>
      </c>
      <c r="N39" s="0" t="b">
        <v>0</v>
      </c>
      <c r="O39" s="2">
        <v>44613.583333333336</v>
      </c>
      <c r="P39" s="2">
        <v>44613.625</v>
      </c>
      <c r="Q39" s="2">
        <v>44613.208333333336</v>
      </c>
      <c r="R39" s="2">
        <v>44613.25</v>
      </c>
      <c r="S39" s="0">
        <v>60</v>
      </c>
      <c r="T39" s="0">
        <v>12</v>
      </c>
      <c r="U39" s="0">
        <v>42</v>
      </c>
      <c r="V39" s="0">
        <v>168</v>
      </c>
      <c r="W39" s="1">
        <f>=HYPERLINK("10.175.1.14\MWEB.12\BT\EntityDetails.10.175.1.14.MWEB.12.-inet-affili.168.xlsx", "&lt;Detail&gt;")</f>
      </c>
      <c r="X39" s="1">
        <f>=HYPERLINK("10.175.1.14\MWEB.12\BT\MetricGraphs.BT.10.175.1.14.MWEB.12.xlsx", "&lt;Metrics&gt;")</f>
      </c>
      <c r="Y39" s="1">
        <f>=HYPERLINK("10.175.1.14\MWEB.12\BT\FlameGraph.BT.10.175.1.14.MWEB.12.-inet-affili.168.svg", "&lt;FlGraph&gt;")</f>
      </c>
      <c r="Z39" s="1">
        <f>=HYPERLINK("10.175.1.14\MWEB.12\BT\FlameChart.BT.10.175.1.14.MWEB.12.-inet-affili.168.svg", "&lt;FlChart&gt;")</f>
      </c>
      <c r="AA39" s="0" t="s">
        <v>107</v>
      </c>
      <c r="AB39" s="0" t="s">
        <v>108</v>
      </c>
      <c r="AC39" s="0" t="s">
        <v>126</v>
      </c>
      <c r="AD39" s="0" t="s">
        <v>280</v>
      </c>
      <c r="AE39" s="0" t="s">
        <v>109</v>
      </c>
    </row>
    <row r="40">
      <c r="A40" s="0" t="s">
        <v>28</v>
      </c>
      <c r="B40" s="0" t="s">
        <v>30</v>
      </c>
      <c r="C40" s="0" t="s">
        <v>125</v>
      </c>
      <c r="D40" s="0" t="s">
        <v>281</v>
      </c>
      <c r="E40" s="0" t="s">
        <v>229</v>
      </c>
      <c r="F40" s="0">
        <v>0</v>
      </c>
      <c r="G40" s="0" t="s">
        <v>106</v>
      </c>
      <c r="H40" s="0">
        <v>0</v>
      </c>
      <c r="I40" s="0">
        <v>0</v>
      </c>
      <c r="J40" s="0">
        <v>0</v>
      </c>
      <c r="K40" s="0">
        <v>0</v>
      </c>
      <c r="L40" s="0">
        <v>0</v>
      </c>
      <c r="M40" s="0">
        <v>0</v>
      </c>
      <c r="N40" s="0" t="b">
        <v>0</v>
      </c>
      <c r="O40" s="2">
        <v>44613.583333333336</v>
      </c>
      <c r="P40" s="2">
        <v>44613.625</v>
      </c>
      <c r="Q40" s="2">
        <v>44613.208333333336</v>
      </c>
      <c r="R40" s="2">
        <v>44613.25</v>
      </c>
      <c r="S40" s="0">
        <v>60</v>
      </c>
      <c r="T40" s="0">
        <v>12</v>
      </c>
      <c r="U40" s="0">
        <v>42</v>
      </c>
      <c r="V40" s="0">
        <v>184</v>
      </c>
      <c r="W40" s="1">
        <f>=HYPERLINK("10.175.1.14\MWEB.12\BT\EntityDetails.10.175.1.14.MWEB.12.-inet-announ.184.xlsx", "&lt;Detail&gt;")</f>
      </c>
      <c r="X40" s="1">
        <f>=HYPERLINK("10.175.1.14\MWEB.12\BT\MetricGraphs.BT.10.175.1.14.MWEB.12.xlsx", "&lt;Metrics&gt;")</f>
      </c>
      <c r="Y40" s="1">
        <f>=HYPERLINK("10.175.1.14\MWEB.12\BT\FlameGraph.BT.10.175.1.14.MWEB.12.-inet-announ.184.svg", "&lt;FlGraph&gt;")</f>
      </c>
      <c r="Z40" s="1">
        <f>=HYPERLINK("10.175.1.14\MWEB.12\BT\FlameChart.BT.10.175.1.14.MWEB.12.-inet-announ.184.svg", "&lt;FlChart&gt;")</f>
      </c>
      <c r="AA40" s="0" t="s">
        <v>107</v>
      </c>
      <c r="AB40" s="0" t="s">
        <v>108</v>
      </c>
      <c r="AC40" s="0" t="s">
        <v>126</v>
      </c>
      <c r="AD40" s="0" t="s">
        <v>282</v>
      </c>
      <c r="AE40" s="0" t="s">
        <v>109</v>
      </c>
    </row>
    <row r="41">
      <c r="A41" s="0" t="s">
        <v>28</v>
      </c>
      <c r="B41" s="0" t="s">
        <v>30</v>
      </c>
      <c r="C41" s="0" t="s">
        <v>125</v>
      </c>
      <c r="D41" s="0" t="s">
        <v>283</v>
      </c>
      <c r="E41" s="0" t="s">
        <v>229</v>
      </c>
      <c r="F41" s="0">
        <v>0</v>
      </c>
      <c r="G41" s="0" t="s">
        <v>106</v>
      </c>
      <c r="H41" s="0">
        <v>0</v>
      </c>
      <c r="I41" s="0">
        <v>0</v>
      </c>
      <c r="J41" s="0">
        <v>0</v>
      </c>
      <c r="K41" s="0">
        <v>0</v>
      </c>
      <c r="L41" s="0">
        <v>0</v>
      </c>
      <c r="M41" s="0">
        <v>0</v>
      </c>
      <c r="N41" s="0" t="b">
        <v>0</v>
      </c>
      <c r="O41" s="2">
        <v>44613.583333333336</v>
      </c>
      <c r="P41" s="2">
        <v>44613.625</v>
      </c>
      <c r="Q41" s="2">
        <v>44613.208333333336</v>
      </c>
      <c r="R41" s="2">
        <v>44613.25</v>
      </c>
      <c r="S41" s="0">
        <v>60</v>
      </c>
      <c r="T41" s="0">
        <v>12</v>
      </c>
      <c r="U41" s="0">
        <v>42</v>
      </c>
      <c r="V41" s="0">
        <v>214</v>
      </c>
      <c r="W41" s="1">
        <f>=HYPERLINK("10.175.1.14\MWEB.12\BT\EntityDetails.10.175.1.14.MWEB.12.-inet-clerk.214.xlsx", "&lt;Detail&gt;")</f>
      </c>
      <c r="X41" s="1">
        <f>=HYPERLINK("10.175.1.14\MWEB.12\BT\MetricGraphs.BT.10.175.1.14.MWEB.12.xlsx", "&lt;Metrics&gt;")</f>
      </c>
      <c r="Y41" s="1">
        <f>=HYPERLINK("10.175.1.14\MWEB.12\BT\FlameGraph.BT.10.175.1.14.MWEB.12.-inet-clerk.214.svg", "&lt;FlGraph&gt;")</f>
      </c>
      <c r="Z41" s="1">
        <f>=HYPERLINK("10.175.1.14\MWEB.12\BT\FlameChart.BT.10.175.1.14.MWEB.12.-inet-clerk.214.svg", "&lt;FlChart&gt;")</f>
      </c>
      <c r="AA41" s="0" t="s">
        <v>107</v>
      </c>
      <c r="AB41" s="0" t="s">
        <v>108</v>
      </c>
      <c r="AC41" s="0" t="s">
        <v>126</v>
      </c>
      <c r="AD41" s="0" t="s">
        <v>284</v>
      </c>
      <c r="AE41" s="0" t="s">
        <v>109</v>
      </c>
    </row>
    <row r="42">
      <c r="A42" s="0" t="s">
        <v>28</v>
      </c>
      <c r="B42" s="0" t="s">
        <v>30</v>
      </c>
      <c r="C42" s="0" t="s">
        <v>125</v>
      </c>
      <c r="D42" s="0" t="s">
        <v>285</v>
      </c>
      <c r="E42" s="0" t="s">
        <v>229</v>
      </c>
      <c r="F42" s="0">
        <v>0</v>
      </c>
      <c r="G42" s="0" t="s">
        <v>106</v>
      </c>
      <c r="H42" s="0">
        <v>0</v>
      </c>
      <c r="I42" s="0">
        <v>0</v>
      </c>
      <c r="J42" s="0">
        <v>0</v>
      </c>
      <c r="K42" s="0">
        <v>0</v>
      </c>
      <c r="L42" s="0">
        <v>0</v>
      </c>
      <c r="M42" s="0">
        <v>0</v>
      </c>
      <c r="N42" s="0" t="b">
        <v>0</v>
      </c>
      <c r="O42" s="2">
        <v>44613.583333333336</v>
      </c>
      <c r="P42" s="2">
        <v>44613.625</v>
      </c>
      <c r="Q42" s="2">
        <v>44613.208333333336</v>
      </c>
      <c r="R42" s="2">
        <v>44613.25</v>
      </c>
      <c r="S42" s="0">
        <v>60</v>
      </c>
      <c r="T42" s="0">
        <v>12</v>
      </c>
      <c r="U42" s="0">
        <v>42</v>
      </c>
      <c r="V42" s="0">
        <v>213</v>
      </c>
      <c r="W42" s="1">
        <f>=HYPERLINK("10.175.1.14\MWEB.12\BT\EntityDetails.10.175.1.14.MWEB.12.-inet-corpor.213.xlsx", "&lt;Detail&gt;")</f>
      </c>
      <c r="X42" s="1">
        <f>=HYPERLINK("10.175.1.14\MWEB.12\BT\MetricGraphs.BT.10.175.1.14.MWEB.12.xlsx", "&lt;Metrics&gt;")</f>
      </c>
      <c r="Y42" s="1">
        <f>=HYPERLINK("10.175.1.14\MWEB.12\BT\FlameGraph.BT.10.175.1.14.MWEB.12.-inet-corpor.213.svg", "&lt;FlGraph&gt;")</f>
      </c>
      <c r="Z42" s="1">
        <f>=HYPERLINK("10.175.1.14\MWEB.12\BT\FlameChart.BT.10.175.1.14.MWEB.12.-inet-corpor.213.svg", "&lt;FlChart&gt;")</f>
      </c>
      <c r="AA42" s="0" t="s">
        <v>107</v>
      </c>
      <c r="AB42" s="0" t="s">
        <v>108</v>
      </c>
      <c r="AC42" s="0" t="s">
        <v>126</v>
      </c>
      <c r="AD42" s="0" t="s">
        <v>286</v>
      </c>
      <c r="AE42" s="0" t="s">
        <v>109</v>
      </c>
    </row>
    <row r="43">
      <c r="A43" s="0" t="s">
        <v>28</v>
      </c>
      <c r="B43" s="0" t="s">
        <v>30</v>
      </c>
      <c r="C43" s="0" t="s">
        <v>125</v>
      </c>
      <c r="D43" s="0" t="s">
        <v>287</v>
      </c>
      <c r="E43" s="0" t="s">
        <v>229</v>
      </c>
      <c r="F43" s="0">
        <v>0</v>
      </c>
      <c r="G43" s="0" t="s">
        <v>106</v>
      </c>
      <c r="H43" s="0">
        <v>0</v>
      </c>
      <c r="I43" s="0">
        <v>0</v>
      </c>
      <c r="J43" s="0">
        <v>0</v>
      </c>
      <c r="K43" s="0">
        <v>0</v>
      </c>
      <c r="L43" s="0">
        <v>0</v>
      </c>
      <c r="M43" s="0">
        <v>0</v>
      </c>
      <c r="N43" s="0" t="b">
        <v>0</v>
      </c>
      <c r="O43" s="2">
        <v>44613.583333333336</v>
      </c>
      <c r="P43" s="2">
        <v>44613.625</v>
      </c>
      <c r="Q43" s="2">
        <v>44613.208333333336</v>
      </c>
      <c r="R43" s="2">
        <v>44613.25</v>
      </c>
      <c r="S43" s="0">
        <v>60</v>
      </c>
      <c r="T43" s="0">
        <v>12</v>
      </c>
      <c r="U43" s="0">
        <v>42</v>
      </c>
      <c r="V43" s="0">
        <v>155</v>
      </c>
      <c r="W43" s="1">
        <f>=HYPERLINK("10.175.1.14\MWEB.12\BT\EntityDetails.10.175.1.14.MWEB.12.-inet-dy.155.xlsx", "&lt;Detail&gt;")</f>
      </c>
      <c r="X43" s="1">
        <f>=HYPERLINK("10.175.1.14\MWEB.12\BT\MetricGraphs.BT.10.175.1.14.MWEB.12.xlsx", "&lt;Metrics&gt;")</f>
      </c>
      <c r="Y43" s="1">
        <f>=HYPERLINK("10.175.1.14\MWEB.12\BT\FlameGraph.BT.10.175.1.14.MWEB.12.-inet-dy.155.svg", "&lt;FlGraph&gt;")</f>
      </c>
      <c r="Z43" s="1">
        <f>=HYPERLINK("10.175.1.14\MWEB.12\BT\FlameChart.BT.10.175.1.14.MWEB.12.-inet-dy.155.svg", "&lt;FlChart&gt;")</f>
      </c>
      <c r="AA43" s="0" t="s">
        <v>107</v>
      </c>
      <c r="AB43" s="0" t="s">
        <v>108</v>
      </c>
      <c r="AC43" s="0" t="s">
        <v>126</v>
      </c>
      <c r="AD43" s="0" t="s">
        <v>288</v>
      </c>
      <c r="AE43" s="0" t="s">
        <v>109</v>
      </c>
    </row>
    <row r="44">
      <c r="A44" s="0" t="s">
        <v>28</v>
      </c>
      <c r="B44" s="0" t="s">
        <v>30</v>
      </c>
      <c r="C44" s="0" t="s">
        <v>125</v>
      </c>
      <c r="D44" s="0" t="s">
        <v>289</v>
      </c>
      <c r="E44" s="0" t="s">
        <v>229</v>
      </c>
      <c r="F44" s="0">
        <v>0</v>
      </c>
      <c r="G44" s="0" t="s">
        <v>106</v>
      </c>
      <c r="H44" s="0">
        <v>0</v>
      </c>
      <c r="I44" s="0">
        <v>0</v>
      </c>
      <c r="J44" s="0">
        <v>0</v>
      </c>
      <c r="K44" s="0">
        <v>0</v>
      </c>
      <c r="L44" s="0">
        <v>0</v>
      </c>
      <c r="M44" s="0">
        <v>0</v>
      </c>
      <c r="N44" s="0" t="b">
        <v>0</v>
      </c>
      <c r="O44" s="2">
        <v>44613.583333333336</v>
      </c>
      <c r="P44" s="2">
        <v>44613.625</v>
      </c>
      <c r="Q44" s="2">
        <v>44613.208333333336</v>
      </c>
      <c r="R44" s="2">
        <v>44613.25</v>
      </c>
      <c r="S44" s="0">
        <v>60</v>
      </c>
      <c r="T44" s="0">
        <v>12</v>
      </c>
      <c r="U44" s="0">
        <v>42</v>
      </c>
      <c r="V44" s="0">
        <v>222</v>
      </c>
      <c r="W44" s="1">
        <f>=HYPERLINK("10.175.1.14\MWEB.12\BT\EntityDetails.10.175.1.14.MWEB.12.-inet-EshopS.222.xlsx", "&lt;Detail&gt;")</f>
      </c>
      <c r="X44" s="1">
        <f>=HYPERLINK("10.175.1.14\MWEB.12\BT\MetricGraphs.BT.10.175.1.14.MWEB.12.xlsx", "&lt;Metrics&gt;")</f>
      </c>
      <c r="Y44" s="1">
        <f>=HYPERLINK("10.175.1.14\MWEB.12\BT\FlameGraph.BT.10.175.1.14.MWEB.12.-inet-EshopS.222.svg", "&lt;FlGraph&gt;")</f>
      </c>
      <c r="Z44" s="1">
        <f>=HYPERLINK("10.175.1.14\MWEB.12\BT\FlameChart.BT.10.175.1.14.MWEB.12.-inet-EshopS.222.svg", "&lt;FlChart&gt;")</f>
      </c>
      <c r="AA44" s="0" t="s">
        <v>107</v>
      </c>
      <c r="AB44" s="0" t="s">
        <v>108</v>
      </c>
      <c r="AC44" s="0" t="s">
        <v>126</v>
      </c>
      <c r="AD44" s="0" t="s">
        <v>290</v>
      </c>
      <c r="AE44" s="0" t="s">
        <v>109</v>
      </c>
    </row>
    <row r="45">
      <c r="A45" s="0" t="s">
        <v>28</v>
      </c>
      <c r="B45" s="0" t="s">
        <v>30</v>
      </c>
      <c r="C45" s="0" t="s">
        <v>125</v>
      </c>
      <c r="D45" s="0" t="s">
        <v>291</v>
      </c>
      <c r="E45" s="0" t="s">
        <v>229</v>
      </c>
      <c r="F45" s="0">
        <v>0</v>
      </c>
      <c r="G45" s="0" t="s">
        <v>106</v>
      </c>
      <c r="H45" s="0">
        <v>0</v>
      </c>
      <c r="I45" s="0">
        <v>0</v>
      </c>
      <c r="J45" s="0">
        <v>0</v>
      </c>
      <c r="K45" s="0">
        <v>0</v>
      </c>
      <c r="L45" s="0">
        <v>0</v>
      </c>
      <c r="M45" s="0">
        <v>0</v>
      </c>
      <c r="N45" s="0" t="b">
        <v>0</v>
      </c>
      <c r="O45" s="2">
        <v>44613.583333333336</v>
      </c>
      <c r="P45" s="2">
        <v>44613.625</v>
      </c>
      <c r="Q45" s="2">
        <v>44613.208333333336</v>
      </c>
      <c r="R45" s="2">
        <v>44613.25</v>
      </c>
      <c r="S45" s="0">
        <v>60</v>
      </c>
      <c r="T45" s="0">
        <v>12</v>
      </c>
      <c r="U45" s="0">
        <v>42</v>
      </c>
      <c r="V45" s="0">
        <v>156</v>
      </c>
      <c r="W45" s="1">
        <f>=HYPERLINK("10.175.1.14\MWEB.12\BT\EntityDetails.10.175.1.14.MWEB.12.-inet-idpw.156.xlsx", "&lt;Detail&gt;")</f>
      </c>
      <c r="X45" s="1">
        <f>=HYPERLINK("10.175.1.14\MWEB.12\BT\MetricGraphs.BT.10.175.1.14.MWEB.12.xlsx", "&lt;Metrics&gt;")</f>
      </c>
      <c r="Y45" s="1">
        <f>=HYPERLINK("10.175.1.14\MWEB.12\BT\FlameGraph.BT.10.175.1.14.MWEB.12.-inet-idpw.156.svg", "&lt;FlGraph&gt;")</f>
      </c>
      <c r="Z45" s="1">
        <f>=HYPERLINK("10.175.1.14\MWEB.12\BT\FlameChart.BT.10.175.1.14.MWEB.12.-inet-idpw.156.svg", "&lt;FlChart&gt;")</f>
      </c>
      <c r="AA45" s="0" t="s">
        <v>107</v>
      </c>
      <c r="AB45" s="0" t="s">
        <v>108</v>
      </c>
      <c r="AC45" s="0" t="s">
        <v>126</v>
      </c>
      <c r="AD45" s="0" t="s">
        <v>292</v>
      </c>
      <c r="AE45" s="0" t="s">
        <v>109</v>
      </c>
    </row>
    <row r="46">
      <c r="A46" s="0" t="s">
        <v>28</v>
      </c>
      <c r="B46" s="0" t="s">
        <v>30</v>
      </c>
      <c r="C46" s="0" t="s">
        <v>125</v>
      </c>
      <c r="D46" s="0" t="s">
        <v>293</v>
      </c>
      <c r="E46" s="0" t="s">
        <v>229</v>
      </c>
      <c r="F46" s="0">
        <v>0</v>
      </c>
      <c r="G46" s="0" t="s">
        <v>106</v>
      </c>
      <c r="H46" s="0">
        <v>0</v>
      </c>
      <c r="I46" s="0">
        <v>0</v>
      </c>
      <c r="J46" s="0">
        <v>0</v>
      </c>
      <c r="K46" s="0">
        <v>0</v>
      </c>
      <c r="L46" s="0">
        <v>0</v>
      </c>
      <c r="M46" s="0">
        <v>0</v>
      </c>
      <c r="N46" s="0" t="b">
        <v>0</v>
      </c>
      <c r="O46" s="2">
        <v>44613.583333333336</v>
      </c>
      <c r="P46" s="2">
        <v>44613.625</v>
      </c>
      <c r="Q46" s="2">
        <v>44613.208333333336</v>
      </c>
      <c r="R46" s="2">
        <v>44613.25</v>
      </c>
      <c r="S46" s="0">
        <v>60</v>
      </c>
      <c r="T46" s="0">
        <v>12</v>
      </c>
      <c r="U46" s="0">
        <v>42</v>
      </c>
      <c r="V46" s="0">
        <v>106</v>
      </c>
      <c r="W46" s="1">
        <f>=HYPERLINK("10.175.1.14\MWEB.12\BT\EntityDetails.10.175.1.14.MWEB.12.-inet-life.106.xlsx", "&lt;Detail&gt;")</f>
      </c>
      <c r="X46" s="1">
        <f>=HYPERLINK("10.175.1.14\MWEB.12\BT\MetricGraphs.BT.10.175.1.14.MWEB.12.xlsx", "&lt;Metrics&gt;")</f>
      </c>
      <c r="Y46" s="1">
        <f>=HYPERLINK("10.175.1.14\MWEB.12\BT\FlameGraph.BT.10.175.1.14.MWEB.12.-inet-life.106.svg", "&lt;FlGraph&gt;")</f>
      </c>
      <c r="Z46" s="1">
        <f>=HYPERLINK("10.175.1.14\MWEB.12\BT\FlameChart.BT.10.175.1.14.MWEB.12.-inet-life.106.svg", "&lt;FlChart&gt;")</f>
      </c>
      <c r="AA46" s="0" t="s">
        <v>107</v>
      </c>
      <c r="AB46" s="0" t="s">
        <v>108</v>
      </c>
      <c r="AC46" s="0" t="s">
        <v>126</v>
      </c>
      <c r="AD46" s="0" t="s">
        <v>294</v>
      </c>
      <c r="AE46" s="0" t="s">
        <v>109</v>
      </c>
    </row>
    <row r="47">
      <c r="A47" s="0" t="s">
        <v>28</v>
      </c>
      <c r="B47" s="0" t="s">
        <v>30</v>
      </c>
      <c r="C47" s="0" t="s">
        <v>125</v>
      </c>
      <c r="D47" s="0" t="s">
        <v>295</v>
      </c>
      <c r="E47" s="0" t="s">
        <v>229</v>
      </c>
      <c r="F47" s="0">
        <v>0</v>
      </c>
      <c r="G47" s="0" t="s">
        <v>106</v>
      </c>
      <c r="H47" s="0">
        <v>0</v>
      </c>
      <c r="I47" s="0">
        <v>0</v>
      </c>
      <c r="J47" s="0">
        <v>0</v>
      </c>
      <c r="K47" s="0">
        <v>0</v>
      </c>
      <c r="L47" s="0">
        <v>0</v>
      </c>
      <c r="M47" s="0">
        <v>0</v>
      </c>
      <c r="N47" s="0" t="b">
        <v>0</v>
      </c>
      <c r="O47" s="2">
        <v>44613.583333333336</v>
      </c>
      <c r="P47" s="2">
        <v>44613.625</v>
      </c>
      <c r="Q47" s="2">
        <v>44613.208333333336</v>
      </c>
      <c r="R47" s="2">
        <v>44613.25</v>
      </c>
      <c r="S47" s="0">
        <v>60</v>
      </c>
      <c r="T47" s="0">
        <v>12</v>
      </c>
      <c r="U47" s="0">
        <v>42</v>
      </c>
      <c r="V47" s="0">
        <v>167</v>
      </c>
      <c r="W47" s="1">
        <f>=HYPERLINK("10.175.1.14\MWEB.12\BT\EntityDetails.10.175.1.14.MWEB.12.-inet-ni.167.xlsx", "&lt;Detail&gt;")</f>
      </c>
      <c r="X47" s="1">
        <f>=HYPERLINK("10.175.1.14\MWEB.12\BT\MetricGraphs.BT.10.175.1.14.MWEB.12.xlsx", "&lt;Metrics&gt;")</f>
      </c>
      <c r="Y47" s="1">
        <f>=HYPERLINK("10.175.1.14\MWEB.12\BT\FlameGraph.BT.10.175.1.14.MWEB.12.-inet-ni.167.svg", "&lt;FlGraph&gt;")</f>
      </c>
      <c r="Z47" s="1">
        <f>=HYPERLINK("10.175.1.14\MWEB.12\BT\FlameChart.BT.10.175.1.14.MWEB.12.-inet-ni.167.svg", "&lt;FlChart&gt;")</f>
      </c>
      <c r="AA47" s="0" t="s">
        <v>107</v>
      </c>
      <c r="AB47" s="0" t="s">
        <v>108</v>
      </c>
      <c r="AC47" s="0" t="s">
        <v>126</v>
      </c>
      <c r="AD47" s="0" t="s">
        <v>296</v>
      </c>
      <c r="AE47" s="0" t="s">
        <v>109</v>
      </c>
    </row>
    <row r="48">
      <c r="A48" s="0" t="s">
        <v>28</v>
      </c>
      <c r="B48" s="0" t="s">
        <v>30</v>
      </c>
      <c r="C48" s="0" t="s">
        <v>127</v>
      </c>
      <c r="D48" s="0" t="s">
        <v>297</v>
      </c>
      <c r="E48" s="0" t="s">
        <v>229</v>
      </c>
      <c r="F48" s="0">
        <v>0</v>
      </c>
      <c r="G48" s="0" t="s">
        <v>106</v>
      </c>
      <c r="H48" s="0">
        <v>0</v>
      </c>
      <c r="I48" s="0">
        <v>0</v>
      </c>
      <c r="J48" s="0">
        <v>0</v>
      </c>
      <c r="K48" s="0">
        <v>0</v>
      </c>
      <c r="L48" s="0">
        <v>0</v>
      </c>
      <c r="M48" s="0">
        <v>0</v>
      </c>
      <c r="N48" s="0" t="b">
        <v>0</v>
      </c>
      <c r="O48" s="2">
        <v>44613.583333333336</v>
      </c>
      <c r="P48" s="2">
        <v>44613.625</v>
      </c>
      <c r="Q48" s="2">
        <v>44613.208333333336</v>
      </c>
      <c r="R48" s="2">
        <v>44613.25</v>
      </c>
      <c r="S48" s="0">
        <v>60</v>
      </c>
      <c r="T48" s="0">
        <v>12</v>
      </c>
      <c r="U48" s="0">
        <v>39</v>
      </c>
      <c r="V48" s="0">
        <v>212</v>
      </c>
      <c r="W48" s="1">
        <f>=HYPERLINK("10.175.1.14\MWEB.12\BT\EntityDetails.10.175.1.14.MWEB.12.-inet-nyukai.212.xlsx", "&lt;Detail&gt;")</f>
      </c>
      <c r="X48" s="1">
        <f>=HYPERLINK("10.175.1.14\MWEB.12\BT\MetricGraphs.BT.10.175.1.14.MWEB.12.xlsx", "&lt;Metrics&gt;")</f>
      </c>
      <c r="Y48" s="1">
        <f>=HYPERLINK("10.175.1.14\MWEB.12\BT\FlameGraph.BT.10.175.1.14.MWEB.12.-inet-nyukai.212.svg", "&lt;FlGraph&gt;")</f>
      </c>
      <c r="Z48" s="1">
        <f>=HYPERLINK("10.175.1.14\MWEB.12\BT\FlameChart.BT.10.175.1.14.MWEB.12.-inet-nyukai.212.svg", "&lt;FlChart&gt;")</f>
      </c>
      <c r="AA48" s="0" t="s">
        <v>107</v>
      </c>
      <c r="AB48" s="0" t="s">
        <v>108</v>
      </c>
      <c r="AC48" s="0" t="s">
        <v>128</v>
      </c>
      <c r="AD48" s="0" t="s">
        <v>298</v>
      </c>
      <c r="AE48" s="0" t="s">
        <v>109</v>
      </c>
    </row>
    <row r="49">
      <c r="A49" s="0" t="s">
        <v>28</v>
      </c>
      <c r="B49" s="0" t="s">
        <v>30</v>
      </c>
      <c r="C49" s="0" t="s">
        <v>125</v>
      </c>
      <c r="D49" s="0" t="s">
        <v>299</v>
      </c>
      <c r="E49" s="0" t="s">
        <v>229</v>
      </c>
      <c r="F49" s="0">
        <v>0</v>
      </c>
      <c r="G49" s="0" t="s">
        <v>106</v>
      </c>
      <c r="H49" s="0">
        <v>0</v>
      </c>
      <c r="I49" s="0">
        <v>0</v>
      </c>
      <c r="J49" s="0">
        <v>0</v>
      </c>
      <c r="K49" s="0">
        <v>0</v>
      </c>
      <c r="L49" s="0">
        <v>0</v>
      </c>
      <c r="M49" s="0">
        <v>0</v>
      </c>
      <c r="N49" s="0" t="b">
        <v>0</v>
      </c>
      <c r="O49" s="2">
        <v>44613.583333333336</v>
      </c>
      <c r="P49" s="2">
        <v>44613.625</v>
      </c>
      <c r="Q49" s="2">
        <v>44613.208333333336</v>
      </c>
      <c r="R49" s="2">
        <v>44613.25</v>
      </c>
      <c r="S49" s="0">
        <v>60</v>
      </c>
      <c r="T49" s="0">
        <v>12</v>
      </c>
      <c r="U49" s="0">
        <v>42</v>
      </c>
      <c r="V49" s="0">
        <v>159</v>
      </c>
      <c r="W49" s="1">
        <f>=HYPERLINK("10.175.1.14\MWEB.12\BT\EntityDetails.10.175.1.14.MWEB.12.-inet-online.159.xlsx", "&lt;Detail&gt;")</f>
      </c>
      <c r="X49" s="1">
        <f>=HYPERLINK("10.175.1.14\MWEB.12\BT\MetricGraphs.BT.10.175.1.14.MWEB.12.xlsx", "&lt;Metrics&gt;")</f>
      </c>
      <c r="Y49" s="1">
        <f>=HYPERLINK("10.175.1.14\MWEB.12\BT\FlameGraph.BT.10.175.1.14.MWEB.12.-inet-online.159.svg", "&lt;FlGraph&gt;")</f>
      </c>
      <c r="Z49" s="1">
        <f>=HYPERLINK("10.175.1.14\MWEB.12\BT\FlameChart.BT.10.175.1.14.MWEB.12.-inet-online.159.svg", "&lt;FlChart&gt;")</f>
      </c>
      <c r="AA49" s="0" t="s">
        <v>107</v>
      </c>
      <c r="AB49" s="0" t="s">
        <v>108</v>
      </c>
      <c r="AC49" s="0" t="s">
        <v>126</v>
      </c>
      <c r="AD49" s="0" t="s">
        <v>300</v>
      </c>
      <c r="AE49" s="0" t="s">
        <v>109</v>
      </c>
    </row>
    <row r="50">
      <c r="A50" s="0" t="s">
        <v>28</v>
      </c>
      <c r="B50" s="0" t="s">
        <v>30</v>
      </c>
      <c r="C50" s="0" t="s">
        <v>125</v>
      </c>
      <c r="D50" s="0" t="s">
        <v>301</v>
      </c>
      <c r="E50" s="0" t="s">
        <v>229</v>
      </c>
      <c r="F50" s="0">
        <v>0</v>
      </c>
      <c r="G50" s="0" t="s">
        <v>106</v>
      </c>
      <c r="H50" s="0">
        <v>0</v>
      </c>
      <c r="I50" s="0">
        <v>0</v>
      </c>
      <c r="J50" s="0">
        <v>0</v>
      </c>
      <c r="K50" s="0">
        <v>0</v>
      </c>
      <c r="L50" s="0">
        <v>0</v>
      </c>
      <c r="M50" s="0">
        <v>0</v>
      </c>
      <c r="N50" s="0" t="b">
        <v>0</v>
      </c>
      <c r="O50" s="2">
        <v>44613.583333333336</v>
      </c>
      <c r="P50" s="2">
        <v>44613.625</v>
      </c>
      <c r="Q50" s="2">
        <v>44613.208333333336</v>
      </c>
      <c r="R50" s="2">
        <v>44613.25</v>
      </c>
      <c r="S50" s="0">
        <v>60</v>
      </c>
      <c r="T50" s="0">
        <v>12</v>
      </c>
      <c r="U50" s="0">
        <v>42</v>
      </c>
      <c r="V50" s="0">
        <v>164</v>
      </c>
      <c r="W50" s="1">
        <f>=HYPERLINK("10.175.1.14\MWEB.12\BT\EntityDetails.10.175.1.14.MWEB.12.-inet-postac.164.xlsx", "&lt;Detail&gt;")</f>
      </c>
      <c r="X50" s="1">
        <f>=HYPERLINK("10.175.1.14\MWEB.12\BT\MetricGraphs.BT.10.175.1.14.MWEB.12.xlsx", "&lt;Metrics&gt;")</f>
      </c>
      <c r="Y50" s="1">
        <f>=HYPERLINK("10.175.1.14\MWEB.12\BT\FlameGraph.BT.10.175.1.14.MWEB.12.-inet-postac.164.svg", "&lt;FlGraph&gt;")</f>
      </c>
      <c r="Z50" s="1">
        <f>=HYPERLINK("10.175.1.14\MWEB.12\BT\FlameChart.BT.10.175.1.14.MWEB.12.-inet-postac.164.svg", "&lt;FlChart&gt;")</f>
      </c>
      <c r="AA50" s="0" t="s">
        <v>107</v>
      </c>
      <c r="AB50" s="0" t="s">
        <v>108</v>
      </c>
      <c r="AC50" s="0" t="s">
        <v>126</v>
      </c>
      <c r="AD50" s="0" t="s">
        <v>302</v>
      </c>
      <c r="AE50" s="0" t="s">
        <v>109</v>
      </c>
    </row>
    <row r="51">
      <c r="A51" s="0" t="s">
        <v>28</v>
      </c>
      <c r="B51" s="0" t="s">
        <v>30</v>
      </c>
      <c r="C51" s="0" t="s">
        <v>125</v>
      </c>
      <c r="D51" s="0" t="s">
        <v>303</v>
      </c>
      <c r="E51" s="0" t="s">
        <v>229</v>
      </c>
      <c r="F51" s="0">
        <v>0</v>
      </c>
      <c r="G51" s="0" t="s">
        <v>106</v>
      </c>
      <c r="H51" s="0">
        <v>0</v>
      </c>
      <c r="I51" s="0">
        <v>0</v>
      </c>
      <c r="J51" s="0">
        <v>0</v>
      </c>
      <c r="K51" s="0">
        <v>0</v>
      </c>
      <c r="L51" s="0">
        <v>0</v>
      </c>
      <c r="M51" s="0">
        <v>0</v>
      </c>
      <c r="N51" s="0" t="b">
        <v>0</v>
      </c>
      <c r="O51" s="2">
        <v>44613.583333333336</v>
      </c>
      <c r="P51" s="2">
        <v>44613.625</v>
      </c>
      <c r="Q51" s="2">
        <v>44613.208333333336</v>
      </c>
      <c r="R51" s="2">
        <v>44613.25</v>
      </c>
      <c r="S51" s="0">
        <v>60</v>
      </c>
      <c r="T51" s="0">
        <v>12</v>
      </c>
      <c r="U51" s="0">
        <v>42</v>
      </c>
      <c r="V51" s="0">
        <v>216</v>
      </c>
      <c r="W51" s="1">
        <f>=HYPERLINK("10.175.1.14\MWEB.12\BT\EntityDetails.10.175.1.14.MWEB.12.-inet-rwd.216.xlsx", "&lt;Detail&gt;")</f>
      </c>
      <c r="X51" s="1">
        <f>=HYPERLINK("10.175.1.14\MWEB.12\BT\MetricGraphs.BT.10.175.1.14.MWEB.12.xlsx", "&lt;Metrics&gt;")</f>
      </c>
      <c r="Y51" s="1">
        <f>=HYPERLINK("10.175.1.14\MWEB.12\BT\FlameGraph.BT.10.175.1.14.MWEB.12.-inet-rwd.216.svg", "&lt;FlGraph&gt;")</f>
      </c>
      <c r="Z51" s="1">
        <f>=HYPERLINK("10.175.1.14\MWEB.12\BT\FlameChart.BT.10.175.1.14.MWEB.12.-inet-rwd.216.svg", "&lt;FlChart&gt;")</f>
      </c>
      <c r="AA51" s="0" t="s">
        <v>107</v>
      </c>
      <c r="AB51" s="0" t="s">
        <v>108</v>
      </c>
      <c r="AC51" s="0" t="s">
        <v>126</v>
      </c>
      <c r="AD51" s="0" t="s">
        <v>304</v>
      </c>
      <c r="AE51" s="0" t="s">
        <v>109</v>
      </c>
    </row>
    <row r="52">
      <c r="A52" s="0" t="s">
        <v>28</v>
      </c>
      <c r="B52" s="0" t="s">
        <v>30</v>
      </c>
      <c r="C52" s="0" t="s">
        <v>125</v>
      </c>
      <c r="D52" s="0" t="s">
        <v>305</v>
      </c>
      <c r="E52" s="0" t="s">
        <v>229</v>
      </c>
      <c r="F52" s="0">
        <v>0</v>
      </c>
      <c r="G52" s="0" t="s">
        <v>106</v>
      </c>
      <c r="H52" s="0">
        <v>0</v>
      </c>
      <c r="I52" s="0">
        <v>0</v>
      </c>
      <c r="J52" s="0">
        <v>0</v>
      </c>
      <c r="K52" s="0">
        <v>0</v>
      </c>
      <c r="L52" s="0">
        <v>0</v>
      </c>
      <c r="M52" s="0">
        <v>0</v>
      </c>
      <c r="N52" s="0" t="b">
        <v>0</v>
      </c>
      <c r="O52" s="2">
        <v>44613.583333333336</v>
      </c>
      <c r="P52" s="2">
        <v>44613.625</v>
      </c>
      <c r="Q52" s="2">
        <v>44613.208333333336</v>
      </c>
      <c r="R52" s="2">
        <v>44613.25</v>
      </c>
      <c r="S52" s="0">
        <v>60</v>
      </c>
      <c r="T52" s="0">
        <v>12</v>
      </c>
      <c r="U52" s="0">
        <v>42</v>
      </c>
      <c r="V52" s="0">
        <v>218</v>
      </c>
      <c r="W52" s="1">
        <f>=HYPERLINK("10.175.1.14\MWEB.12\BT\EntityDetails.10.175.1.14.MWEB.12.-inet-seamle.218.xlsx", "&lt;Detail&gt;")</f>
      </c>
      <c r="X52" s="1">
        <f>=HYPERLINK("10.175.1.14\MWEB.12\BT\MetricGraphs.BT.10.175.1.14.MWEB.12.xlsx", "&lt;Metrics&gt;")</f>
      </c>
      <c r="Y52" s="1">
        <f>=HYPERLINK("10.175.1.14\MWEB.12\BT\FlameGraph.BT.10.175.1.14.MWEB.12.-inet-seamle.218.svg", "&lt;FlGraph&gt;")</f>
      </c>
      <c r="Z52" s="1">
        <f>=HYPERLINK("10.175.1.14\MWEB.12\BT\FlameChart.BT.10.175.1.14.MWEB.12.-inet-seamle.218.svg", "&lt;FlChart&gt;")</f>
      </c>
      <c r="AA52" s="0" t="s">
        <v>107</v>
      </c>
      <c r="AB52" s="0" t="s">
        <v>108</v>
      </c>
      <c r="AC52" s="0" t="s">
        <v>126</v>
      </c>
      <c r="AD52" s="0" t="s">
        <v>306</v>
      </c>
      <c r="AE52" s="0" t="s">
        <v>109</v>
      </c>
    </row>
    <row r="53">
      <c r="A53" s="0" t="s">
        <v>28</v>
      </c>
      <c r="B53" s="0" t="s">
        <v>30</v>
      </c>
      <c r="C53" s="0" t="s">
        <v>125</v>
      </c>
      <c r="D53" s="0" t="s">
        <v>307</v>
      </c>
      <c r="E53" s="0" t="s">
        <v>229</v>
      </c>
      <c r="F53" s="0">
        <v>0</v>
      </c>
      <c r="G53" s="0" t="s">
        <v>106</v>
      </c>
      <c r="H53" s="0">
        <v>0</v>
      </c>
      <c r="I53" s="0">
        <v>0</v>
      </c>
      <c r="J53" s="0">
        <v>0</v>
      </c>
      <c r="K53" s="0">
        <v>0</v>
      </c>
      <c r="L53" s="0">
        <v>0</v>
      </c>
      <c r="M53" s="0">
        <v>0</v>
      </c>
      <c r="N53" s="0" t="b">
        <v>0</v>
      </c>
      <c r="O53" s="2">
        <v>44613.583333333336</v>
      </c>
      <c r="P53" s="2">
        <v>44613.625</v>
      </c>
      <c r="Q53" s="2">
        <v>44613.208333333336</v>
      </c>
      <c r="R53" s="2">
        <v>44613.25</v>
      </c>
      <c r="S53" s="0">
        <v>60</v>
      </c>
      <c r="T53" s="0">
        <v>12</v>
      </c>
      <c r="U53" s="0">
        <v>42</v>
      </c>
      <c r="V53" s="0">
        <v>165</v>
      </c>
      <c r="W53" s="1">
        <f>=HYPERLINK("10.175.1.14\MWEB.12\BT\EntityDetails.10.175.1.14.MWEB.12.-inet-shiryo.165.xlsx", "&lt;Detail&gt;")</f>
      </c>
      <c r="X53" s="1">
        <f>=HYPERLINK("10.175.1.14\MWEB.12\BT\MetricGraphs.BT.10.175.1.14.MWEB.12.xlsx", "&lt;Metrics&gt;")</f>
      </c>
      <c r="Y53" s="1">
        <f>=HYPERLINK("10.175.1.14\MWEB.12\BT\FlameGraph.BT.10.175.1.14.MWEB.12.-inet-shiryo.165.svg", "&lt;FlGraph&gt;")</f>
      </c>
      <c r="Z53" s="1">
        <f>=HYPERLINK("10.175.1.14\MWEB.12\BT\FlameChart.BT.10.175.1.14.MWEB.12.-inet-shiryo.165.svg", "&lt;FlChart&gt;")</f>
      </c>
      <c r="AA53" s="0" t="s">
        <v>107</v>
      </c>
      <c r="AB53" s="0" t="s">
        <v>108</v>
      </c>
      <c r="AC53" s="0" t="s">
        <v>126</v>
      </c>
      <c r="AD53" s="0" t="s">
        <v>308</v>
      </c>
      <c r="AE53" s="0" t="s">
        <v>109</v>
      </c>
    </row>
    <row r="54">
      <c r="A54" s="0" t="s">
        <v>28</v>
      </c>
      <c r="B54" s="0" t="s">
        <v>30</v>
      </c>
      <c r="C54" s="0" t="s">
        <v>125</v>
      </c>
      <c r="D54" s="0" t="s">
        <v>309</v>
      </c>
      <c r="E54" s="0" t="s">
        <v>229</v>
      </c>
      <c r="F54" s="0">
        <v>0</v>
      </c>
      <c r="G54" s="0" t="s">
        <v>106</v>
      </c>
      <c r="H54" s="0">
        <v>0</v>
      </c>
      <c r="I54" s="0">
        <v>0</v>
      </c>
      <c r="J54" s="0">
        <v>0</v>
      </c>
      <c r="K54" s="0">
        <v>0</v>
      </c>
      <c r="L54" s="0">
        <v>0</v>
      </c>
      <c r="M54" s="0">
        <v>0</v>
      </c>
      <c r="N54" s="0" t="b">
        <v>0</v>
      </c>
      <c r="O54" s="2">
        <v>44613.583333333336</v>
      </c>
      <c r="P54" s="2">
        <v>44613.625</v>
      </c>
      <c r="Q54" s="2">
        <v>44613.208333333336</v>
      </c>
      <c r="R54" s="2">
        <v>44613.25</v>
      </c>
      <c r="S54" s="0">
        <v>60</v>
      </c>
      <c r="T54" s="0">
        <v>12</v>
      </c>
      <c r="U54" s="0">
        <v>42</v>
      </c>
      <c r="V54" s="0">
        <v>163</v>
      </c>
      <c r="W54" s="1">
        <f>=HYPERLINK("10.175.1.14\MWEB.12\BT\EntityDetails.10.175.1.14.MWEB.12.-inet-siryo.163.xlsx", "&lt;Detail&gt;")</f>
      </c>
      <c r="X54" s="1">
        <f>=HYPERLINK("10.175.1.14\MWEB.12\BT\MetricGraphs.BT.10.175.1.14.MWEB.12.xlsx", "&lt;Metrics&gt;")</f>
      </c>
      <c r="Y54" s="1">
        <f>=HYPERLINK("10.175.1.14\MWEB.12\BT\FlameGraph.BT.10.175.1.14.MWEB.12.-inet-siryo.163.svg", "&lt;FlGraph&gt;")</f>
      </c>
      <c r="Z54" s="1">
        <f>=HYPERLINK("10.175.1.14\MWEB.12\BT\FlameChart.BT.10.175.1.14.MWEB.12.-inet-siryo.163.svg", "&lt;FlChart&gt;")</f>
      </c>
      <c r="AA54" s="0" t="s">
        <v>107</v>
      </c>
      <c r="AB54" s="0" t="s">
        <v>108</v>
      </c>
      <c r="AC54" s="0" t="s">
        <v>126</v>
      </c>
      <c r="AD54" s="0" t="s">
        <v>310</v>
      </c>
      <c r="AE54" s="0" t="s">
        <v>109</v>
      </c>
    </row>
    <row r="55">
      <c r="A55" s="0" t="s">
        <v>28</v>
      </c>
      <c r="B55" s="0" t="s">
        <v>30</v>
      </c>
      <c r="C55" s="0" t="s">
        <v>125</v>
      </c>
      <c r="D55" s="0" t="s">
        <v>311</v>
      </c>
      <c r="E55" s="0" t="s">
        <v>229</v>
      </c>
      <c r="F55" s="0">
        <v>0</v>
      </c>
      <c r="G55" s="0" t="s">
        <v>106</v>
      </c>
      <c r="H55" s="0">
        <v>0</v>
      </c>
      <c r="I55" s="0">
        <v>0</v>
      </c>
      <c r="J55" s="0">
        <v>0</v>
      </c>
      <c r="K55" s="0">
        <v>0</v>
      </c>
      <c r="L55" s="0">
        <v>0</v>
      </c>
      <c r="M55" s="0">
        <v>0</v>
      </c>
      <c r="N55" s="0" t="b">
        <v>0</v>
      </c>
      <c r="O55" s="2">
        <v>44613.583333333336</v>
      </c>
      <c r="P55" s="2">
        <v>44613.625</v>
      </c>
      <c r="Q55" s="2">
        <v>44613.208333333336</v>
      </c>
      <c r="R55" s="2">
        <v>44613.25</v>
      </c>
      <c r="S55" s="0">
        <v>60</v>
      </c>
      <c r="T55" s="0">
        <v>12</v>
      </c>
      <c r="U55" s="0">
        <v>42</v>
      </c>
      <c r="V55" s="0">
        <v>161</v>
      </c>
      <c r="W55" s="1">
        <f>=HYPERLINK("10.175.1.14\MWEB.12\BT\EntityDetails.10.175.1.14.MWEB.12.-inet-toto.161.xlsx", "&lt;Detail&gt;")</f>
      </c>
      <c r="X55" s="1">
        <f>=HYPERLINK("10.175.1.14\MWEB.12\BT\MetricGraphs.BT.10.175.1.14.MWEB.12.xlsx", "&lt;Metrics&gt;")</f>
      </c>
      <c r="Y55" s="1">
        <f>=HYPERLINK("10.175.1.14\MWEB.12\BT\FlameGraph.BT.10.175.1.14.MWEB.12.-inet-toto.161.svg", "&lt;FlGraph&gt;")</f>
      </c>
      <c r="Z55" s="1">
        <f>=HYPERLINK("10.175.1.14\MWEB.12\BT\FlameChart.BT.10.175.1.14.MWEB.12.-inet-toto.161.svg", "&lt;FlChart&gt;")</f>
      </c>
      <c r="AA55" s="0" t="s">
        <v>107</v>
      </c>
      <c r="AB55" s="0" t="s">
        <v>108</v>
      </c>
      <c r="AC55" s="0" t="s">
        <v>126</v>
      </c>
      <c r="AD55" s="0" t="s">
        <v>312</v>
      </c>
      <c r="AE55" s="0" t="s">
        <v>109</v>
      </c>
    </row>
    <row r="56">
      <c r="A56" s="0" t="s">
        <v>28</v>
      </c>
      <c r="B56" s="0" t="s">
        <v>30</v>
      </c>
      <c r="C56" s="0" t="s">
        <v>125</v>
      </c>
      <c r="D56" s="0" t="s">
        <v>313</v>
      </c>
      <c r="E56" s="0" t="s">
        <v>229</v>
      </c>
      <c r="F56" s="0">
        <v>0</v>
      </c>
      <c r="G56" s="0" t="s">
        <v>106</v>
      </c>
      <c r="H56" s="0">
        <v>0</v>
      </c>
      <c r="I56" s="0">
        <v>0</v>
      </c>
      <c r="J56" s="0">
        <v>0</v>
      </c>
      <c r="K56" s="0">
        <v>0</v>
      </c>
      <c r="L56" s="0">
        <v>0</v>
      </c>
      <c r="M56" s="0">
        <v>0</v>
      </c>
      <c r="N56" s="0" t="b">
        <v>0</v>
      </c>
      <c r="O56" s="2">
        <v>44613.583333333336</v>
      </c>
      <c r="P56" s="2">
        <v>44613.625</v>
      </c>
      <c r="Q56" s="2">
        <v>44613.208333333336</v>
      </c>
      <c r="R56" s="2">
        <v>44613.25</v>
      </c>
      <c r="S56" s="0">
        <v>60</v>
      </c>
      <c r="T56" s="0">
        <v>12</v>
      </c>
      <c r="U56" s="0">
        <v>42</v>
      </c>
      <c r="V56" s="0">
        <v>162</v>
      </c>
      <c r="W56" s="1">
        <f>=HYPERLINK("10.175.1.14\MWEB.12\BT\EntityDetails.10.175.1.14.MWEB.12.-inet-TotoSi.162.xlsx", "&lt;Detail&gt;")</f>
      </c>
      <c r="X56" s="1">
        <f>=HYPERLINK("10.175.1.14\MWEB.12\BT\MetricGraphs.BT.10.175.1.14.MWEB.12.xlsx", "&lt;Metrics&gt;")</f>
      </c>
      <c r="Y56" s="1">
        <f>=HYPERLINK("10.175.1.14\MWEB.12\BT\FlameGraph.BT.10.175.1.14.MWEB.12.-inet-TotoSi.162.svg", "&lt;FlGraph&gt;")</f>
      </c>
      <c r="Z56" s="1">
        <f>=HYPERLINK("10.175.1.14\MWEB.12\BT\FlameChart.BT.10.175.1.14.MWEB.12.-inet-TotoSi.162.svg", "&lt;FlChart&gt;")</f>
      </c>
      <c r="AA56" s="0" t="s">
        <v>107</v>
      </c>
      <c r="AB56" s="0" t="s">
        <v>108</v>
      </c>
      <c r="AC56" s="0" t="s">
        <v>126</v>
      </c>
      <c r="AD56" s="0" t="s">
        <v>314</v>
      </c>
      <c r="AE56" s="0" t="s">
        <v>109</v>
      </c>
    </row>
    <row r="57">
      <c r="A57" s="0" t="s">
        <v>28</v>
      </c>
      <c r="B57" s="0" t="s">
        <v>30</v>
      </c>
      <c r="C57" s="0" t="s">
        <v>125</v>
      </c>
      <c r="D57" s="0" t="s">
        <v>315</v>
      </c>
      <c r="E57" s="0" t="s">
        <v>229</v>
      </c>
      <c r="F57" s="0">
        <v>0</v>
      </c>
      <c r="G57" s="0" t="s">
        <v>106</v>
      </c>
      <c r="H57" s="0">
        <v>0</v>
      </c>
      <c r="I57" s="0">
        <v>0</v>
      </c>
      <c r="J57" s="0">
        <v>0</v>
      </c>
      <c r="K57" s="0">
        <v>0</v>
      </c>
      <c r="L57" s="0">
        <v>0</v>
      </c>
      <c r="M57" s="0">
        <v>0</v>
      </c>
      <c r="N57" s="0" t="b">
        <v>0</v>
      </c>
      <c r="O57" s="2">
        <v>44613.583333333336</v>
      </c>
      <c r="P57" s="2">
        <v>44613.625</v>
      </c>
      <c r="Q57" s="2">
        <v>44613.208333333336</v>
      </c>
      <c r="R57" s="2">
        <v>44613.25</v>
      </c>
      <c r="S57" s="0">
        <v>60</v>
      </c>
      <c r="T57" s="0">
        <v>12</v>
      </c>
      <c r="U57" s="0">
        <v>42</v>
      </c>
      <c r="V57" s="0">
        <v>439</v>
      </c>
      <c r="W57" s="1">
        <f>=HYPERLINK("10.175.1.14\MWEB.12\BT\EntityDetails.10.175.1.14.MWEB.12.-intruvert-j.439.xlsx", "&lt;Detail&gt;")</f>
      </c>
      <c r="X57" s="1">
        <f>=HYPERLINK("10.175.1.14\MWEB.12\BT\MetricGraphs.BT.10.175.1.14.MWEB.12.xlsx", "&lt;Metrics&gt;")</f>
      </c>
      <c r="Y57" s="1">
        <f>=HYPERLINK("10.175.1.14\MWEB.12\BT\FlameGraph.BT.10.175.1.14.MWEB.12.-intruvert-j.439.svg", "&lt;FlGraph&gt;")</f>
      </c>
      <c r="Z57" s="1">
        <f>=HYPERLINK("10.175.1.14\MWEB.12\BT\FlameChart.BT.10.175.1.14.MWEB.12.-intruvert-j.439.svg", "&lt;FlChart&gt;")</f>
      </c>
      <c r="AA57" s="0" t="s">
        <v>107</v>
      </c>
      <c r="AB57" s="0" t="s">
        <v>108</v>
      </c>
      <c r="AC57" s="0" t="s">
        <v>126</v>
      </c>
      <c r="AD57" s="0" t="s">
        <v>316</v>
      </c>
      <c r="AE57" s="0" t="s">
        <v>109</v>
      </c>
    </row>
    <row r="58">
      <c r="A58" s="0" t="s">
        <v>28</v>
      </c>
      <c r="B58" s="0" t="s">
        <v>30</v>
      </c>
      <c r="C58" s="0" t="s">
        <v>125</v>
      </c>
      <c r="D58" s="0" t="s">
        <v>317</v>
      </c>
      <c r="E58" s="0" t="s">
        <v>229</v>
      </c>
      <c r="F58" s="0">
        <v>0</v>
      </c>
      <c r="G58" s="0" t="s">
        <v>106</v>
      </c>
      <c r="H58" s="0">
        <v>0</v>
      </c>
      <c r="I58" s="0">
        <v>0</v>
      </c>
      <c r="J58" s="0">
        <v>0</v>
      </c>
      <c r="K58" s="0">
        <v>0</v>
      </c>
      <c r="L58" s="0">
        <v>0</v>
      </c>
      <c r="M58" s="0">
        <v>0</v>
      </c>
      <c r="N58" s="0" t="b">
        <v>0</v>
      </c>
      <c r="O58" s="2">
        <v>44613.583333333336</v>
      </c>
      <c r="P58" s="2">
        <v>44613.625</v>
      </c>
      <c r="Q58" s="2">
        <v>44613.208333333336</v>
      </c>
      <c r="R58" s="2">
        <v>44613.25</v>
      </c>
      <c r="S58" s="0">
        <v>60</v>
      </c>
      <c r="T58" s="0">
        <v>12</v>
      </c>
      <c r="U58" s="0">
        <v>42</v>
      </c>
      <c r="V58" s="0">
        <v>176</v>
      </c>
      <c r="W58" s="1">
        <f>=HYPERLINK("10.175.1.14\MWEB.12\BT\EntityDetails.10.175.1.14.MWEB.12.-IPJSETTLEME.176.xlsx", "&lt;Detail&gt;")</f>
      </c>
      <c r="X58" s="1">
        <f>=HYPERLINK("10.175.1.14\MWEB.12\BT\MetricGraphs.BT.10.175.1.14.MWEB.12.xlsx", "&lt;Metrics&gt;")</f>
      </c>
      <c r="Y58" s="1">
        <f>=HYPERLINK("10.175.1.14\MWEB.12\BT\FlameGraph.BT.10.175.1.14.MWEB.12.-IPJSETTLEME.176.svg", "&lt;FlGraph&gt;")</f>
      </c>
      <c r="Z58" s="1">
        <f>=HYPERLINK("10.175.1.14\MWEB.12\BT\FlameChart.BT.10.175.1.14.MWEB.12.-IPJSETTLEME.176.svg", "&lt;FlChart&gt;")</f>
      </c>
      <c r="AA58" s="0" t="s">
        <v>107</v>
      </c>
      <c r="AB58" s="0" t="s">
        <v>108</v>
      </c>
      <c r="AC58" s="0" t="s">
        <v>126</v>
      </c>
      <c r="AD58" s="0" t="s">
        <v>318</v>
      </c>
      <c r="AE58" s="0" t="s">
        <v>109</v>
      </c>
    </row>
    <row r="59">
      <c r="A59" s="0" t="s">
        <v>28</v>
      </c>
      <c r="B59" s="0" t="s">
        <v>30</v>
      </c>
      <c r="C59" s="0" t="s">
        <v>133</v>
      </c>
      <c r="D59" s="0" t="s">
        <v>317</v>
      </c>
      <c r="E59" s="0" t="s">
        <v>229</v>
      </c>
      <c r="F59" s="0">
        <v>0</v>
      </c>
      <c r="G59" s="0" t="s">
        <v>106</v>
      </c>
      <c r="H59" s="0">
        <v>0</v>
      </c>
      <c r="I59" s="0">
        <v>0</v>
      </c>
      <c r="J59" s="0">
        <v>0</v>
      </c>
      <c r="K59" s="0">
        <v>0</v>
      </c>
      <c r="L59" s="0">
        <v>0</v>
      </c>
      <c r="M59" s="0">
        <v>0</v>
      </c>
      <c r="N59" s="0" t="b">
        <v>0</v>
      </c>
      <c r="O59" s="2">
        <v>44613.583333333336</v>
      </c>
      <c r="P59" s="2">
        <v>44613.625</v>
      </c>
      <c r="Q59" s="2">
        <v>44613.208333333336</v>
      </c>
      <c r="R59" s="2">
        <v>44613.25</v>
      </c>
      <c r="S59" s="0">
        <v>60</v>
      </c>
      <c r="T59" s="0">
        <v>12</v>
      </c>
      <c r="U59" s="0">
        <v>36</v>
      </c>
      <c r="V59" s="0">
        <v>260</v>
      </c>
      <c r="W59" s="1">
        <f>=HYPERLINK("10.175.1.14\MWEB.12\BT\EntityDetails.10.175.1.14.MWEB.12.-IPJSETTLEME.260.xlsx", "&lt;Detail&gt;")</f>
      </c>
      <c r="X59" s="1">
        <f>=HYPERLINK("10.175.1.14\MWEB.12\BT\MetricGraphs.BT.10.175.1.14.MWEB.12.xlsx", "&lt;Metrics&gt;")</f>
      </c>
      <c r="Y59" s="1">
        <f>=HYPERLINK("10.175.1.14\MWEB.12\BT\FlameGraph.BT.10.175.1.14.MWEB.12.-IPJSETTLEME.260.svg", "&lt;FlGraph&gt;")</f>
      </c>
      <c r="Z59" s="1">
        <f>=HYPERLINK("10.175.1.14\MWEB.12\BT\FlameChart.BT.10.175.1.14.MWEB.12.-IPJSETTLEME.260.svg", "&lt;FlChart&gt;")</f>
      </c>
      <c r="AA59" s="0" t="s">
        <v>107</v>
      </c>
      <c r="AB59" s="0" t="s">
        <v>108</v>
      </c>
      <c r="AC59" s="0" t="s">
        <v>134</v>
      </c>
      <c r="AD59" s="0" t="s">
        <v>319</v>
      </c>
      <c r="AE59" s="0" t="s">
        <v>109</v>
      </c>
    </row>
    <row r="60">
      <c r="A60" s="0" t="s">
        <v>28</v>
      </c>
      <c r="B60" s="0" t="s">
        <v>30</v>
      </c>
      <c r="C60" s="0" t="s">
        <v>143</v>
      </c>
      <c r="D60" s="0" t="s">
        <v>317</v>
      </c>
      <c r="E60" s="0" t="s">
        <v>229</v>
      </c>
      <c r="F60" s="0">
        <v>0</v>
      </c>
      <c r="G60" s="0" t="s">
        <v>106</v>
      </c>
      <c r="H60" s="0">
        <v>0</v>
      </c>
      <c r="I60" s="0">
        <v>0</v>
      </c>
      <c r="J60" s="0">
        <v>0</v>
      </c>
      <c r="K60" s="0">
        <v>0</v>
      </c>
      <c r="L60" s="0">
        <v>0</v>
      </c>
      <c r="M60" s="0">
        <v>0</v>
      </c>
      <c r="N60" s="0" t="b">
        <v>0</v>
      </c>
      <c r="O60" s="2">
        <v>44613.583333333336</v>
      </c>
      <c r="P60" s="2">
        <v>44613.625</v>
      </c>
      <c r="Q60" s="2">
        <v>44613.208333333336</v>
      </c>
      <c r="R60" s="2">
        <v>44613.25</v>
      </c>
      <c r="S60" s="0">
        <v>60</v>
      </c>
      <c r="T60" s="0">
        <v>12</v>
      </c>
      <c r="U60" s="0">
        <v>43</v>
      </c>
      <c r="V60" s="0">
        <v>100</v>
      </c>
      <c r="W60" s="1">
        <f>=HYPERLINK("10.175.1.14\MWEB.12\BT\EntityDetails.10.175.1.14.MWEB.12.-IPJSETTLEME.100.xlsx", "&lt;Detail&gt;")</f>
      </c>
      <c r="X60" s="1">
        <f>=HYPERLINK("10.175.1.14\MWEB.12\BT\MetricGraphs.BT.10.175.1.14.MWEB.12.xlsx", "&lt;Metrics&gt;")</f>
      </c>
      <c r="Y60" s="1">
        <f>=HYPERLINK("10.175.1.14\MWEB.12\BT\FlameGraph.BT.10.175.1.14.MWEB.12.-IPJSETTLEME.100.svg", "&lt;FlGraph&gt;")</f>
      </c>
      <c r="Z60" s="1">
        <f>=HYPERLINK("10.175.1.14\MWEB.12\BT\FlameChart.BT.10.175.1.14.MWEB.12.-IPJSETTLEME.100.svg", "&lt;FlChart&gt;")</f>
      </c>
      <c r="AA60" s="0" t="s">
        <v>107</v>
      </c>
      <c r="AB60" s="0" t="s">
        <v>108</v>
      </c>
      <c r="AC60" s="0" t="s">
        <v>144</v>
      </c>
      <c r="AD60" s="0" t="s">
        <v>320</v>
      </c>
      <c r="AE60" s="0" t="s">
        <v>109</v>
      </c>
    </row>
    <row r="61">
      <c r="A61" s="0" t="s">
        <v>28</v>
      </c>
      <c r="B61" s="0" t="s">
        <v>30</v>
      </c>
      <c r="C61" s="0" t="s">
        <v>163</v>
      </c>
      <c r="D61" s="0" t="s">
        <v>317</v>
      </c>
      <c r="E61" s="0" t="s">
        <v>229</v>
      </c>
      <c r="F61" s="0">
        <v>0</v>
      </c>
      <c r="G61" s="0" t="s">
        <v>106</v>
      </c>
      <c r="H61" s="0">
        <v>0</v>
      </c>
      <c r="I61" s="0">
        <v>0</v>
      </c>
      <c r="J61" s="0">
        <v>0</v>
      </c>
      <c r="K61" s="0">
        <v>0</v>
      </c>
      <c r="L61" s="0">
        <v>0</v>
      </c>
      <c r="M61" s="0">
        <v>0</v>
      </c>
      <c r="N61" s="0" t="b">
        <v>0</v>
      </c>
      <c r="O61" s="2">
        <v>44613.583333333336</v>
      </c>
      <c r="P61" s="2">
        <v>44613.625</v>
      </c>
      <c r="Q61" s="2">
        <v>44613.208333333336</v>
      </c>
      <c r="R61" s="2">
        <v>44613.25</v>
      </c>
      <c r="S61" s="0">
        <v>60</v>
      </c>
      <c r="T61" s="0">
        <v>12</v>
      </c>
      <c r="U61" s="0">
        <v>55</v>
      </c>
      <c r="V61" s="0">
        <v>706</v>
      </c>
      <c r="W61" s="1">
        <f>=HYPERLINK("10.175.1.14\MWEB.12\BT\EntityDetails.10.175.1.14.MWEB.12.-IPJSETTLEME.706.xlsx", "&lt;Detail&gt;")</f>
      </c>
      <c r="X61" s="1">
        <f>=HYPERLINK("10.175.1.14\MWEB.12\BT\MetricGraphs.BT.10.175.1.14.MWEB.12.xlsx", "&lt;Metrics&gt;")</f>
      </c>
      <c r="Y61" s="1">
        <f>=HYPERLINK("10.175.1.14\MWEB.12\BT\FlameGraph.BT.10.175.1.14.MWEB.12.-IPJSETTLEME.706.svg", "&lt;FlGraph&gt;")</f>
      </c>
      <c r="Z61" s="1">
        <f>=HYPERLINK("10.175.1.14\MWEB.12\BT\FlameChart.BT.10.175.1.14.MWEB.12.-IPJSETTLEME.706.svg", "&lt;FlChart&gt;")</f>
      </c>
      <c r="AA61" s="0" t="s">
        <v>107</v>
      </c>
      <c r="AB61" s="0" t="s">
        <v>108</v>
      </c>
      <c r="AC61" s="0" t="s">
        <v>164</v>
      </c>
      <c r="AD61" s="0" t="s">
        <v>321</v>
      </c>
      <c r="AE61" s="0" t="s">
        <v>109</v>
      </c>
    </row>
    <row r="62">
      <c r="A62" s="0" t="s">
        <v>28</v>
      </c>
      <c r="B62" s="0" t="s">
        <v>30</v>
      </c>
      <c r="C62" s="0" t="s">
        <v>125</v>
      </c>
      <c r="D62" s="0" t="s">
        <v>322</v>
      </c>
      <c r="E62" s="0" t="s">
        <v>229</v>
      </c>
      <c r="F62" s="0">
        <v>0</v>
      </c>
      <c r="G62" s="0" t="s">
        <v>106</v>
      </c>
      <c r="H62" s="0">
        <v>0</v>
      </c>
      <c r="I62" s="0">
        <v>0</v>
      </c>
      <c r="J62" s="0">
        <v>0</v>
      </c>
      <c r="K62" s="0">
        <v>0</v>
      </c>
      <c r="L62" s="0">
        <v>0</v>
      </c>
      <c r="M62" s="0">
        <v>0</v>
      </c>
      <c r="N62" s="0" t="b">
        <v>0</v>
      </c>
      <c r="O62" s="2">
        <v>44613.583333333336</v>
      </c>
      <c r="P62" s="2">
        <v>44613.625</v>
      </c>
      <c r="Q62" s="2">
        <v>44613.208333333336</v>
      </c>
      <c r="R62" s="2">
        <v>44613.25</v>
      </c>
      <c r="S62" s="0">
        <v>60</v>
      </c>
      <c r="T62" s="0">
        <v>12</v>
      </c>
      <c r="U62" s="0">
        <v>42</v>
      </c>
      <c r="V62" s="0">
        <v>177</v>
      </c>
      <c r="W62" s="1">
        <f>=HYPERLINK("10.175.1.14\MWEB.12\BT\EntityDetails.10.175.1.14.MWEB.12.-JConnect-ac.177.xlsx", "&lt;Detail&gt;")</f>
      </c>
      <c r="X62" s="1">
        <f>=HYPERLINK("10.175.1.14\MWEB.12\BT\MetricGraphs.BT.10.175.1.14.MWEB.12.xlsx", "&lt;Metrics&gt;")</f>
      </c>
      <c r="Y62" s="1">
        <f>=HYPERLINK("10.175.1.14\MWEB.12\BT\FlameGraph.BT.10.175.1.14.MWEB.12.-JConnect-ac.177.svg", "&lt;FlGraph&gt;")</f>
      </c>
      <c r="Z62" s="1">
        <f>=HYPERLINK("10.175.1.14\MWEB.12\BT\FlameChart.BT.10.175.1.14.MWEB.12.-JConnect-ac.177.svg", "&lt;FlChart&gt;")</f>
      </c>
      <c r="AA62" s="0" t="s">
        <v>107</v>
      </c>
      <c r="AB62" s="0" t="s">
        <v>108</v>
      </c>
      <c r="AC62" s="0" t="s">
        <v>126</v>
      </c>
      <c r="AD62" s="0" t="s">
        <v>323</v>
      </c>
      <c r="AE62" s="0" t="s">
        <v>109</v>
      </c>
    </row>
    <row r="63">
      <c r="A63" s="0" t="s">
        <v>28</v>
      </c>
      <c r="B63" s="0" t="s">
        <v>30</v>
      </c>
      <c r="C63" s="0" t="s">
        <v>133</v>
      </c>
      <c r="D63" s="0" t="s">
        <v>322</v>
      </c>
      <c r="E63" s="0" t="s">
        <v>229</v>
      </c>
      <c r="F63" s="0">
        <v>0</v>
      </c>
      <c r="G63" s="0" t="s">
        <v>106</v>
      </c>
      <c r="H63" s="0">
        <v>0</v>
      </c>
      <c r="I63" s="0">
        <v>0</v>
      </c>
      <c r="J63" s="0">
        <v>0</v>
      </c>
      <c r="K63" s="0">
        <v>0</v>
      </c>
      <c r="L63" s="0">
        <v>0</v>
      </c>
      <c r="M63" s="0">
        <v>0</v>
      </c>
      <c r="N63" s="0" t="b">
        <v>0</v>
      </c>
      <c r="O63" s="2">
        <v>44613.583333333336</v>
      </c>
      <c r="P63" s="2">
        <v>44613.625</v>
      </c>
      <c r="Q63" s="2">
        <v>44613.208333333336</v>
      </c>
      <c r="R63" s="2">
        <v>44613.25</v>
      </c>
      <c r="S63" s="0">
        <v>60</v>
      </c>
      <c r="T63" s="0">
        <v>12</v>
      </c>
      <c r="U63" s="0">
        <v>36</v>
      </c>
      <c r="V63" s="0">
        <v>263</v>
      </c>
      <c r="W63" s="1">
        <f>=HYPERLINK("10.175.1.14\MWEB.12\BT\EntityDetails.10.175.1.14.MWEB.12.-JConnect-ac.263.xlsx", "&lt;Detail&gt;")</f>
      </c>
      <c r="X63" s="1">
        <f>=HYPERLINK("10.175.1.14\MWEB.12\BT\MetricGraphs.BT.10.175.1.14.MWEB.12.xlsx", "&lt;Metrics&gt;")</f>
      </c>
      <c r="Y63" s="1">
        <f>=HYPERLINK("10.175.1.14\MWEB.12\BT\FlameGraph.BT.10.175.1.14.MWEB.12.-JConnect-ac.263.svg", "&lt;FlGraph&gt;")</f>
      </c>
      <c r="Z63" s="1">
        <f>=HYPERLINK("10.175.1.14\MWEB.12\BT\FlameChart.BT.10.175.1.14.MWEB.12.-JConnect-ac.263.svg", "&lt;FlChart&gt;")</f>
      </c>
      <c r="AA63" s="0" t="s">
        <v>107</v>
      </c>
      <c r="AB63" s="0" t="s">
        <v>108</v>
      </c>
      <c r="AC63" s="0" t="s">
        <v>134</v>
      </c>
      <c r="AD63" s="0" t="s">
        <v>324</v>
      </c>
      <c r="AE63" s="0" t="s">
        <v>109</v>
      </c>
    </row>
    <row r="64">
      <c r="A64" s="0" t="s">
        <v>28</v>
      </c>
      <c r="B64" s="0" t="s">
        <v>30</v>
      </c>
      <c r="C64" s="0" t="s">
        <v>139</v>
      </c>
      <c r="D64" s="0" t="s">
        <v>325</v>
      </c>
      <c r="E64" s="0" t="s">
        <v>223</v>
      </c>
      <c r="F64" s="0">
        <v>0</v>
      </c>
      <c r="G64" s="0" t="s">
        <v>106</v>
      </c>
      <c r="H64" s="0">
        <v>0</v>
      </c>
      <c r="I64" s="0">
        <v>0</v>
      </c>
      <c r="J64" s="0">
        <v>0</v>
      </c>
      <c r="K64" s="0">
        <v>0</v>
      </c>
      <c r="L64" s="0">
        <v>0</v>
      </c>
      <c r="M64" s="0">
        <v>0</v>
      </c>
      <c r="N64" s="0" t="b">
        <v>0</v>
      </c>
      <c r="O64" s="2">
        <v>44613.583333333336</v>
      </c>
      <c r="P64" s="2">
        <v>44613.625</v>
      </c>
      <c r="Q64" s="2">
        <v>44613.208333333336</v>
      </c>
      <c r="R64" s="2">
        <v>44613.25</v>
      </c>
      <c r="S64" s="0">
        <v>60</v>
      </c>
      <c r="T64" s="0">
        <v>12</v>
      </c>
      <c r="U64" s="0">
        <v>35</v>
      </c>
      <c r="V64" s="0">
        <v>442</v>
      </c>
      <c r="W64" s="1">
        <f>=HYPERLINK("10.175.1.14\MWEB.12\BT\EntityDetails.10.175.1.14.MWEB.12.-login.html.442.xlsx", "&lt;Detail&gt;")</f>
      </c>
      <c r="X64" s="1">
        <f>=HYPERLINK("10.175.1.14\MWEB.12\BT\MetricGraphs.BT.10.175.1.14.MWEB.12.xlsx", "&lt;Metrics&gt;")</f>
      </c>
      <c r="Y64" s="1">
        <f>=HYPERLINK("10.175.1.14\MWEB.12\BT\FlameGraph.BT.10.175.1.14.MWEB.12.-login.html.442.svg", "&lt;FlGraph&gt;")</f>
      </c>
      <c r="Z64" s="1">
        <f>=HYPERLINK("10.175.1.14\MWEB.12\BT\FlameChart.BT.10.175.1.14.MWEB.12.-login.html.442.svg", "&lt;FlChart&gt;")</f>
      </c>
      <c r="AA64" s="0" t="s">
        <v>107</v>
      </c>
      <c r="AB64" s="0" t="s">
        <v>108</v>
      </c>
      <c r="AC64" s="0" t="s">
        <v>142</v>
      </c>
      <c r="AD64" s="0" t="s">
        <v>326</v>
      </c>
      <c r="AE64" s="0" t="s">
        <v>109</v>
      </c>
    </row>
    <row r="65">
      <c r="A65" s="0" t="s">
        <v>28</v>
      </c>
      <c r="B65" s="0" t="s">
        <v>30</v>
      </c>
      <c r="C65" s="0" t="s">
        <v>125</v>
      </c>
      <c r="D65" s="0" t="s">
        <v>327</v>
      </c>
      <c r="E65" s="0" t="s">
        <v>229</v>
      </c>
      <c r="F65" s="0">
        <v>0</v>
      </c>
      <c r="G65" s="0" t="s">
        <v>106</v>
      </c>
      <c r="H65" s="0">
        <v>0</v>
      </c>
      <c r="I65" s="0">
        <v>0</v>
      </c>
      <c r="J65" s="0">
        <v>0</v>
      </c>
      <c r="K65" s="0">
        <v>0</v>
      </c>
      <c r="L65" s="0">
        <v>0</v>
      </c>
      <c r="M65" s="0">
        <v>0</v>
      </c>
      <c r="N65" s="0" t="b">
        <v>0</v>
      </c>
      <c r="O65" s="2">
        <v>44613.583333333336</v>
      </c>
      <c r="P65" s="2">
        <v>44613.625</v>
      </c>
      <c r="Q65" s="2">
        <v>44613.208333333336</v>
      </c>
      <c r="R65" s="2">
        <v>44613.25</v>
      </c>
      <c r="S65" s="0">
        <v>60</v>
      </c>
      <c r="T65" s="0">
        <v>12</v>
      </c>
      <c r="U65" s="0">
        <v>42</v>
      </c>
      <c r="V65" s="0">
        <v>137</v>
      </c>
      <c r="W65" s="1">
        <f>=HYPERLINK("10.175.1.14\MWEB.12\BT\EntityDetails.10.175.1.14.MWEB.12.-management-.137.xlsx", "&lt;Detail&gt;")</f>
      </c>
      <c r="X65" s="1">
        <f>=HYPERLINK("10.175.1.14\MWEB.12\BT\MetricGraphs.BT.10.175.1.14.MWEB.12.xlsx", "&lt;Metrics&gt;")</f>
      </c>
      <c r="Y65" s="1">
        <f>=HYPERLINK("10.175.1.14\MWEB.12\BT\FlameGraph.BT.10.175.1.14.MWEB.12.-management-.137.svg", "&lt;FlGraph&gt;")</f>
      </c>
      <c r="Z65" s="1">
        <f>=HYPERLINK("10.175.1.14\MWEB.12\BT\FlameChart.BT.10.175.1.14.MWEB.12.-management-.137.svg", "&lt;FlChart&gt;")</f>
      </c>
      <c r="AA65" s="0" t="s">
        <v>107</v>
      </c>
      <c r="AB65" s="0" t="s">
        <v>108</v>
      </c>
      <c r="AC65" s="0" t="s">
        <v>126</v>
      </c>
      <c r="AD65" s="0" t="s">
        <v>328</v>
      </c>
      <c r="AE65" s="0" t="s">
        <v>109</v>
      </c>
    </row>
    <row r="66">
      <c r="A66" s="0" t="s">
        <v>28</v>
      </c>
      <c r="B66" s="0" t="s">
        <v>30</v>
      </c>
      <c r="C66" s="0" t="s">
        <v>127</v>
      </c>
      <c r="D66" s="0" t="s">
        <v>327</v>
      </c>
      <c r="E66" s="0" t="s">
        <v>229</v>
      </c>
      <c r="F66" s="0">
        <v>0</v>
      </c>
      <c r="G66" s="0" t="s">
        <v>106</v>
      </c>
      <c r="H66" s="0">
        <v>0</v>
      </c>
      <c r="I66" s="0">
        <v>0</v>
      </c>
      <c r="J66" s="0">
        <v>0</v>
      </c>
      <c r="K66" s="0">
        <v>0</v>
      </c>
      <c r="L66" s="0">
        <v>0</v>
      </c>
      <c r="M66" s="0">
        <v>0</v>
      </c>
      <c r="N66" s="0" t="b">
        <v>0</v>
      </c>
      <c r="O66" s="2">
        <v>44613.583333333336</v>
      </c>
      <c r="P66" s="2">
        <v>44613.625</v>
      </c>
      <c r="Q66" s="2">
        <v>44613.208333333336</v>
      </c>
      <c r="R66" s="2">
        <v>44613.25</v>
      </c>
      <c r="S66" s="0">
        <v>60</v>
      </c>
      <c r="T66" s="0">
        <v>12</v>
      </c>
      <c r="U66" s="0">
        <v>39</v>
      </c>
      <c r="V66" s="0">
        <v>107</v>
      </c>
      <c r="W66" s="1">
        <f>=HYPERLINK("10.175.1.14\MWEB.12\BT\EntityDetails.10.175.1.14.MWEB.12.-management-.107.xlsx", "&lt;Detail&gt;")</f>
      </c>
      <c r="X66" s="1">
        <f>=HYPERLINK("10.175.1.14\MWEB.12\BT\MetricGraphs.BT.10.175.1.14.MWEB.12.xlsx", "&lt;Metrics&gt;")</f>
      </c>
      <c r="Y66" s="1">
        <f>=HYPERLINK("10.175.1.14\MWEB.12\BT\FlameGraph.BT.10.175.1.14.MWEB.12.-management-.107.svg", "&lt;FlGraph&gt;")</f>
      </c>
      <c r="Z66" s="1">
        <f>=HYPERLINK("10.175.1.14\MWEB.12\BT\FlameChart.BT.10.175.1.14.MWEB.12.-management-.107.svg", "&lt;FlChart&gt;")</f>
      </c>
      <c r="AA66" s="0" t="s">
        <v>107</v>
      </c>
      <c r="AB66" s="0" t="s">
        <v>108</v>
      </c>
      <c r="AC66" s="0" t="s">
        <v>128</v>
      </c>
      <c r="AD66" s="0" t="s">
        <v>329</v>
      </c>
      <c r="AE66" s="0" t="s">
        <v>109</v>
      </c>
    </row>
    <row r="67">
      <c r="A67" s="0" t="s">
        <v>28</v>
      </c>
      <c r="B67" s="0" t="s">
        <v>30</v>
      </c>
      <c r="C67" s="0" t="s">
        <v>129</v>
      </c>
      <c r="D67" s="0" t="s">
        <v>327</v>
      </c>
      <c r="E67" s="0" t="s">
        <v>229</v>
      </c>
      <c r="F67" s="0">
        <v>0</v>
      </c>
      <c r="G67" s="0" t="s">
        <v>106</v>
      </c>
      <c r="H67" s="0">
        <v>0</v>
      </c>
      <c r="I67" s="0">
        <v>0</v>
      </c>
      <c r="J67" s="0">
        <v>0</v>
      </c>
      <c r="K67" s="0">
        <v>0</v>
      </c>
      <c r="L67" s="0">
        <v>0</v>
      </c>
      <c r="M67" s="0">
        <v>0</v>
      </c>
      <c r="N67" s="0" t="b">
        <v>0</v>
      </c>
      <c r="O67" s="2">
        <v>44613.583333333336</v>
      </c>
      <c r="P67" s="2">
        <v>44613.625</v>
      </c>
      <c r="Q67" s="2">
        <v>44613.208333333336</v>
      </c>
      <c r="R67" s="2">
        <v>44613.25</v>
      </c>
      <c r="S67" s="0">
        <v>60</v>
      </c>
      <c r="T67" s="0">
        <v>12</v>
      </c>
      <c r="U67" s="0">
        <v>41</v>
      </c>
      <c r="V67" s="0">
        <v>229</v>
      </c>
      <c r="W67" s="1">
        <f>=HYPERLINK("10.175.1.14\MWEB.12\BT\EntityDetails.10.175.1.14.MWEB.12.-management-.229.xlsx", "&lt;Detail&gt;")</f>
      </c>
      <c r="X67" s="1">
        <f>=HYPERLINK("10.175.1.14\MWEB.12\BT\MetricGraphs.BT.10.175.1.14.MWEB.12.xlsx", "&lt;Metrics&gt;")</f>
      </c>
      <c r="Y67" s="1">
        <f>=HYPERLINK("10.175.1.14\MWEB.12\BT\FlameGraph.BT.10.175.1.14.MWEB.12.-management-.229.svg", "&lt;FlGraph&gt;")</f>
      </c>
      <c r="Z67" s="1">
        <f>=HYPERLINK("10.175.1.14\MWEB.12\BT\FlameChart.BT.10.175.1.14.MWEB.12.-management-.229.svg", "&lt;FlChart&gt;")</f>
      </c>
      <c r="AA67" s="0" t="s">
        <v>107</v>
      </c>
      <c r="AB67" s="0" t="s">
        <v>108</v>
      </c>
      <c r="AC67" s="0" t="s">
        <v>130</v>
      </c>
      <c r="AD67" s="0" t="s">
        <v>330</v>
      </c>
      <c r="AE67" s="0" t="s">
        <v>109</v>
      </c>
    </row>
    <row r="68">
      <c r="A68" s="0" t="s">
        <v>28</v>
      </c>
      <c r="B68" s="0" t="s">
        <v>30</v>
      </c>
      <c r="C68" s="0" t="s">
        <v>131</v>
      </c>
      <c r="D68" s="0" t="s">
        <v>327</v>
      </c>
      <c r="E68" s="0" t="s">
        <v>229</v>
      </c>
      <c r="F68" s="0">
        <v>0</v>
      </c>
      <c r="G68" s="0" t="s">
        <v>106</v>
      </c>
      <c r="H68" s="0">
        <v>0</v>
      </c>
      <c r="I68" s="0">
        <v>0</v>
      </c>
      <c r="J68" s="0">
        <v>0</v>
      </c>
      <c r="K68" s="0">
        <v>0</v>
      </c>
      <c r="L68" s="0">
        <v>0</v>
      </c>
      <c r="M68" s="0">
        <v>0</v>
      </c>
      <c r="N68" s="0" t="b">
        <v>0</v>
      </c>
      <c r="O68" s="2">
        <v>44613.583333333336</v>
      </c>
      <c r="P68" s="2">
        <v>44613.625</v>
      </c>
      <c r="Q68" s="2">
        <v>44613.208333333336</v>
      </c>
      <c r="R68" s="2">
        <v>44613.25</v>
      </c>
      <c r="S68" s="0">
        <v>60</v>
      </c>
      <c r="T68" s="0">
        <v>12</v>
      </c>
      <c r="U68" s="0">
        <v>40</v>
      </c>
      <c r="V68" s="0">
        <v>233</v>
      </c>
      <c r="W68" s="1">
        <f>=HYPERLINK("10.175.1.14\MWEB.12\BT\EntityDetails.10.175.1.14.MWEB.12.-management-.233.xlsx", "&lt;Detail&gt;")</f>
      </c>
      <c r="X68" s="1">
        <f>=HYPERLINK("10.175.1.14\MWEB.12\BT\MetricGraphs.BT.10.175.1.14.MWEB.12.xlsx", "&lt;Metrics&gt;")</f>
      </c>
      <c r="Y68" s="1">
        <f>=HYPERLINK("10.175.1.14\MWEB.12\BT\FlameGraph.BT.10.175.1.14.MWEB.12.-management-.233.svg", "&lt;FlGraph&gt;")</f>
      </c>
      <c r="Z68" s="1">
        <f>=HYPERLINK("10.175.1.14\MWEB.12\BT\FlameChart.BT.10.175.1.14.MWEB.12.-management-.233.svg", "&lt;FlChart&gt;")</f>
      </c>
      <c r="AA68" s="0" t="s">
        <v>107</v>
      </c>
      <c r="AB68" s="0" t="s">
        <v>108</v>
      </c>
      <c r="AC68" s="0" t="s">
        <v>132</v>
      </c>
      <c r="AD68" s="0" t="s">
        <v>331</v>
      </c>
      <c r="AE68" s="0" t="s">
        <v>109</v>
      </c>
    </row>
    <row r="69">
      <c r="A69" s="0" t="s">
        <v>28</v>
      </c>
      <c r="B69" s="0" t="s">
        <v>30</v>
      </c>
      <c r="C69" s="0" t="s">
        <v>133</v>
      </c>
      <c r="D69" s="0" t="s">
        <v>327</v>
      </c>
      <c r="E69" s="0" t="s">
        <v>229</v>
      </c>
      <c r="F69" s="0">
        <v>0</v>
      </c>
      <c r="G69" s="0" t="s">
        <v>106</v>
      </c>
      <c r="H69" s="0">
        <v>0</v>
      </c>
      <c r="I69" s="0">
        <v>0</v>
      </c>
      <c r="J69" s="0">
        <v>0</v>
      </c>
      <c r="K69" s="0">
        <v>0</v>
      </c>
      <c r="L69" s="0">
        <v>0</v>
      </c>
      <c r="M69" s="0">
        <v>0</v>
      </c>
      <c r="N69" s="0" t="b">
        <v>0</v>
      </c>
      <c r="O69" s="2">
        <v>44613.583333333336</v>
      </c>
      <c r="P69" s="2">
        <v>44613.625</v>
      </c>
      <c r="Q69" s="2">
        <v>44613.208333333336</v>
      </c>
      <c r="R69" s="2">
        <v>44613.25</v>
      </c>
      <c r="S69" s="0">
        <v>60</v>
      </c>
      <c r="T69" s="0">
        <v>12</v>
      </c>
      <c r="U69" s="0">
        <v>36</v>
      </c>
      <c r="V69" s="0">
        <v>145</v>
      </c>
      <c r="W69" s="1">
        <f>=HYPERLINK("10.175.1.14\MWEB.12\BT\EntityDetails.10.175.1.14.MWEB.12.-management-.145.xlsx", "&lt;Detail&gt;")</f>
      </c>
      <c r="X69" s="1">
        <f>=HYPERLINK("10.175.1.14\MWEB.12\BT\MetricGraphs.BT.10.175.1.14.MWEB.12.xlsx", "&lt;Metrics&gt;")</f>
      </c>
      <c r="Y69" s="1">
        <f>=HYPERLINK("10.175.1.14\MWEB.12\BT\FlameGraph.BT.10.175.1.14.MWEB.12.-management-.145.svg", "&lt;FlGraph&gt;")</f>
      </c>
      <c r="Z69" s="1">
        <f>=HYPERLINK("10.175.1.14\MWEB.12\BT\FlameChart.BT.10.175.1.14.MWEB.12.-management-.145.svg", "&lt;FlChart&gt;")</f>
      </c>
      <c r="AA69" s="0" t="s">
        <v>107</v>
      </c>
      <c r="AB69" s="0" t="s">
        <v>108</v>
      </c>
      <c r="AC69" s="0" t="s">
        <v>134</v>
      </c>
      <c r="AD69" s="0" t="s">
        <v>332</v>
      </c>
      <c r="AE69" s="0" t="s">
        <v>109</v>
      </c>
    </row>
    <row r="70">
      <c r="A70" s="0" t="s">
        <v>28</v>
      </c>
      <c r="B70" s="0" t="s">
        <v>30</v>
      </c>
      <c r="C70" s="0" t="s">
        <v>135</v>
      </c>
      <c r="D70" s="0" t="s">
        <v>327</v>
      </c>
      <c r="E70" s="0" t="s">
        <v>229</v>
      </c>
      <c r="F70" s="0">
        <v>0</v>
      </c>
      <c r="G70" s="0" t="s">
        <v>106</v>
      </c>
      <c r="H70" s="0">
        <v>0</v>
      </c>
      <c r="I70" s="0">
        <v>0</v>
      </c>
      <c r="J70" s="0">
        <v>0</v>
      </c>
      <c r="K70" s="0">
        <v>0</v>
      </c>
      <c r="L70" s="0">
        <v>0</v>
      </c>
      <c r="M70" s="0">
        <v>0</v>
      </c>
      <c r="N70" s="0" t="b">
        <v>0</v>
      </c>
      <c r="O70" s="2">
        <v>44613.583333333336</v>
      </c>
      <c r="P70" s="2">
        <v>44613.625</v>
      </c>
      <c r="Q70" s="2">
        <v>44613.208333333336</v>
      </c>
      <c r="R70" s="2">
        <v>44613.25</v>
      </c>
      <c r="S70" s="0">
        <v>60</v>
      </c>
      <c r="T70" s="0">
        <v>12</v>
      </c>
      <c r="U70" s="0">
        <v>37</v>
      </c>
      <c r="V70" s="0">
        <v>195</v>
      </c>
      <c r="W70" s="1">
        <f>=HYPERLINK("10.175.1.14\MWEB.12\BT\EntityDetails.10.175.1.14.MWEB.12.-management-.195.xlsx", "&lt;Detail&gt;")</f>
      </c>
      <c r="X70" s="1">
        <f>=HYPERLINK("10.175.1.14\MWEB.12\BT\MetricGraphs.BT.10.175.1.14.MWEB.12.xlsx", "&lt;Metrics&gt;")</f>
      </c>
      <c r="Y70" s="1">
        <f>=HYPERLINK("10.175.1.14\MWEB.12\BT\FlameGraph.BT.10.175.1.14.MWEB.12.-management-.195.svg", "&lt;FlGraph&gt;")</f>
      </c>
      <c r="Z70" s="1">
        <f>=HYPERLINK("10.175.1.14\MWEB.12\BT\FlameChart.BT.10.175.1.14.MWEB.12.-management-.195.svg", "&lt;FlChart&gt;")</f>
      </c>
      <c r="AA70" s="0" t="s">
        <v>107</v>
      </c>
      <c r="AB70" s="0" t="s">
        <v>108</v>
      </c>
      <c r="AC70" s="0" t="s">
        <v>136</v>
      </c>
      <c r="AD70" s="0" t="s">
        <v>333</v>
      </c>
      <c r="AE70" s="0" t="s">
        <v>109</v>
      </c>
    </row>
    <row r="71">
      <c r="A71" s="0" t="s">
        <v>28</v>
      </c>
      <c r="B71" s="0" t="s">
        <v>30</v>
      </c>
      <c r="C71" s="0" t="s">
        <v>137</v>
      </c>
      <c r="D71" s="0" t="s">
        <v>327</v>
      </c>
      <c r="E71" s="0" t="s">
        <v>229</v>
      </c>
      <c r="F71" s="0">
        <v>0</v>
      </c>
      <c r="G71" s="0" t="s">
        <v>106</v>
      </c>
      <c r="H71" s="0">
        <v>0</v>
      </c>
      <c r="I71" s="0">
        <v>0</v>
      </c>
      <c r="J71" s="0">
        <v>0</v>
      </c>
      <c r="K71" s="0">
        <v>0</v>
      </c>
      <c r="L71" s="0">
        <v>0</v>
      </c>
      <c r="M71" s="0">
        <v>0</v>
      </c>
      <c r="N71" s="0" t="b">
        <v>0</v>
      </c>
      <c r="O71" s="2">
        <v>44613.583333333336</v>
      </c>
      <c r="P71" s="2">
        <v>44613.625</v>
      </c>
      <c r="Q71" s="2">
        <v>44613.208333333336</v>
      </c>
      <c r="R71" s="2">
        <v>44613.25</v>
      </c>
      <c r="S71" s="0">
        <v>60</v>
      </c>
      <c r="T71" s="0">
        <v>12</v>
      </c>
      <c r="U71" s="0">
        <v>38</v>
      </c>
      <c r="V71" s="0">
        <v>196</v>
      </c>
      <c r="W71" s="1">
        <f>=HYPERLINK("10.175.1.14\MWEB.12\BT\EntityDetails.10.175.1.14.MWEB.12.-management-.196.xlsx", "&lt;Detail&gt;")</f>
      </c>
      <c r="X71" s="1">
        <f>=HYPERLINK("10.175.1.14\MWEB.12\BT\MetricGraphs.BT.10.175.1.14.MWEB.12.xlsx", "&lt;Metrics&gt;")</f>
      </c>
      <c r="Y71" s="1">
        <f>=HYPERLINK("10.175.1.14\MWEB.12\BT\FlameGraph.BT.10.175.1.14.MWEB.12.-management-.196.svg", "&lt;FlGraph&gt;")</f>
      </c>
      <c r="Z71" s="1">
        <f>=HYPERLINK("10.175.1.14\MWEB.12\BT\FlameChart.BT.10.175.1.14.MWEB.12.-management-.196.svg", "&lt;FlChart&gt;")</f>
      </c>
      <c r="AA71" s="0" t="s">
        <v>107</v>
      </c>
      <c r="AB71" s="0" t="s">
        <v>108</v>
      </c>
      <c r="AC71" s="0" t="s">
        <v>138</v>
      </c>
      <c r="AD71" s="0" t="s">
        <v>334</v>
      </c>
      <c r="AE71" s="0" t="s">
        <v>109</v>
      </c>
    </row>
    <row r="72">
      <c r="A72" s="0" t="s">
        <v>28</v>
      </c>
      <c r="B72" s="0" t="s">
        <v>30</v>
      </c>
      <c r="C72" s="0" t="s">
        <v>133</v>
      </c>
      <c r="D72" s="0" t="s">
        <v>335</v>
      </c>
      <c r="E72" s="0" t="s">
        <v>229</v>
      </c>
      <c r="F72" s="0">
        <v>0</v>
      </c>
      <c r="G72" s="0" t="s">
        <v>106</v>
      </c>
      <c r="H72" s="0">
        <v>0</v>
      </c>
      <c r="I72" s="0">
        <v>0</v>
      </c>
      <c r="J72" s="0">
        <v>0</v>
      </c>
      <c r="K72" s="0">
        <v>0</v>
      </c>
      <c r="L72" s="0">
        <v>0</v>
      </c>
      <c r="M72" s="0">
        <v>0</v>
      </c>
      <c r="N72" s="0" t="b">
        <v>0</v>
      </c>
      <c r="O72" s="2">
        <v>44613.583333333336</v>
      </c>
      <c r="P72" s="2">
        <v>44613.625</v>
      </c>
      <c r="Q72" s="2">
        <v>44613.208333333336</v>
      </c>
      <c r="R72" s="2">
        <v>44613.25</v>
      </c>
      <c r="S72" s="0">
        <v>60</v>
      </c>
      <c r="T72" s="0">
        <v>12</v>
      </c>
      <c r="U72" s="0">
        <v>36</v>
      </c>
      <c r="V72" s="0">
        <v>173</v>
      </c>
      <c r="W72" s="1">
        <f>=HYPERLINK("10.175.1.14\MWEB.12\BT\EntityDetails.10.175.1.14.MWEB.12.-master-mana.173.xlsx", "&lt;Detail&gt;")</f>
      </c>
      <c r="X72" s="1">
        <f>=HYPERLINK("10.175.1.14\MWEB.12\BT\MetricGraphs.BT.10.175.1.14.MWEB.12.xlsx", "&lt;Metrics&gt;")</f>
      </c>
      <c r="Y72" s="1">
        <f>=HYPERLINK("10.175.1.14\MWEB.12\BT\FlameGraph.BT.10.175.1.14.MWEB.12.-master-mana.173.svg", "&lt;FlGraph&gt;")</f>
      </c>
      <c r="Z72" s="1">
        <f>=HYPERLINK("10.175.1.14\MWEB.12\BT\FlameChart.BT.10.175.1.14.MWEB.12.-master-mana.173.svg", "&lt;FlChart&gt;")</f>
      </c>
      <c r="AA72" s="0" t="s">
        <v>107</v>
      </c>
      <c r="AB72" s="0" t="s">
        <v>108</v>
      </c>
      <c r="AC72" s="0" t="s">
        <v>134</v>
      </c>
      <c r="AD72" s="0" t="s">
        <v>336</v>
      </c>
      <c r="AE72" s="0" t="s">
        <v>109</v>
      </c>
    </row>
    <row r="73">
      <c r="A73" s="0" t="s">
        <v>28</v>
      </c>
      <c r="B73" s="0" t="s">
        <v>30</v>
      </c>
      <c r="C73" s="0" t="s">
        <v>149</v>
      </c>
      <c r="D73" s="0" t="s">
        <v>337</v>
      </c>
      <c r="E73" s="0" t="s">
        <v>229</v>
      </c>
      <c r="F73" s="0">
        <v>0</v>
      </c>
      <c r="G73" s="0" t="s">
        <v>106</v>
      </c>
      <c r="H73" s="0">
        <v>0</v>
      </c>
      <c r="I73" s="0">
        <v>0</v>
      </c>
      <c r="J73" s="0">
        <v>0</v>
      </c>
      <c r="K73" s="0">
        <v>0</v>
      </c>
      <c r="L73" s="0">
        <v>0</v>
      </c>
      <c r="M73" s="0">
        <v>0</v>
      </c>
      <c r="N73" s="0" t="b">
        <v>0</v>
      </c>
      <c r="O73" s="2">
        <v>44613.583333333336</v>
      </c>
      <c r="P73" s="2">
        <v>44613.625</v>
      </c>
      <c r="Q73" s="2">
        <v>44613.208333333336</v>
      </c>
      <c r="R73" s="2">
        <v>44613.25</v>
      </c>
      <c r="S73" s="0">
        <v>60</v>
      </c>
      <c r="T73" s="0">
        <v>12</v>
      </c>
      <c r="U73" s="0">
        <v>50</v>
      </c>
      <c r="V73" s="0">
        <v>776</v>
      </c>
      <c r="W73" s="1">
        <f>=HYPERLINK("10.175.1.14\MWEB.12\BT\EntityDetails.10.175.1.14.MWEB.12.-modules-.776.xlsx", "&lt;Detail&gt;")</f>
      </c>
      <c r="X73" s="1">
        <f>=HYPERLINK("10.175.1.14\MWEB.12\BT\MetricGraphs.BT.10.175.1.14.MWEB.12.xlsx", "&lt;Metrics&gt;")</f>
      </c>
      <c r="Y73" s="1">
        <f>=HYPERLINK("10.175.1.14\MWEB.12\BT\FlameGraph.BT.10.175.1.14.MWEB.12.-modules-.776.svg", "&lt;FlGraph&gt;")</f>
      </c>
      <c r="Z73" s="1">
        <f>=HYPERLINK("10.175.1.14\MWEB.12\BT\FlameChart.BT.10.175.1.14.MWEB.12.-modules-.776.svg", "&lt;FlChart&gt;")</f>
      </c>
      <c r="AA73" s="0" t="s">
        <v>107</v>
      </c>
      <c r="AB73" s="0" t="s">
        <v>108</v>
      </c>
      <c r="AC73" s="0" t="s">
        <v>150</v>
      </c>
      <c r="AD73" s="0" t="s">
        <v>338</v>
      </c>
      <c r="AE73" s="0" t="s">
        <v>109</v>
      </c>
    </row>
    <row r="74">
      <c r="A74" s="0" t="s">
        <v>28</v>
      </c>
      <c r="B74" s="0" t="s">
        <v>30</v>
      </c>
      <c r="C74" s="0" t="s">
        <v>147</v>
      </c>
      <c r="D74" s="0" t="s">
        <v>339</v>
      </c>
      <c r="E74" s="0" t="s">
        <v>229</v>
      </c>
      <c r="F74" s="0">
        <v>0</v>
      </c>
      <c r="G74" s="0" t="s">
        <v>106</v>
      </c>
      <c r="H74" s="0">
        <v>0</v>
      </c>
      <c r="I74" s="0">
        <v>0</v>
      </c>
      <c r="J74" s="0">
        <v>0</v>
      </c>
      <c r="K74" s="0">
        <v>0</v>
      </c>
      <c r="L74" s="0">
        <v>0</v>
      </c>
      <c r="M74" s="0">
        <v>0</v>
      </c>
      <c r="N74" s="0" t="b">
        <v>0</v>
      </c>
      <c r="O74" s="2">
        <v>44613.583333333336</v>
      </c>
      <c r="P74" s="2">
        <v>44613.625</v>
      </c>
      <c r="Q74" s="2">
        <v>44613.208333333336</v>
      </c>
      <c r="R74" s="2">
        <v>44613.25</v>
      </c>
      <c r="S74" s="0">
        <v>60</v>
      </c>
      <c r="T74" s="0">
        <v>12</v>
      </c>
      <c r="U74" s="0">
        <v>49</v>
      </c>
      <c r="V74" s="0">
        <v>772</v>
      </c>
      <c r="W74" s="1">
        <f>=HYPERLINK("10.175.1.14\MWEB.12\BT\EntityDetails.10.175.1.14.MWEB.12.-net-.772.xlsx", "&lt;Detail&gt;")</f>
      </c>
      <c r="X74" s="1">
        <f>=HYPERLINK("10.175.1.14\MWEB.12\BT\MetricGraphs.BT.10.175.1.14.MWEB.12.xlsx", "&lt;Metrics&gt;")</f>
      </c>
      <c r="Y74" s="1">
        <f>=HYPERLINK("10.175.1.14\MWEB.12\BT\FlameGraph.BT.10.175.1.14.MWEB.12.-net-.772.svg", "&lt;FlGraph&gt;")</f>
      </c>
      <c r="Z74" s="1">
        <f>=HYPERLINK("10.175.1.14\MWEB.12\BT\FlameChart.BT.10.175.1.14.MWEB.12.-net-.772.svg", "&lt;FlChart&gt;")</f>
      </c>
      <c r="AA74" s="0" t="s">
        <v>107</v>
      </c>
      <c r="AB74" s="0" t="s">
        <v>108</v>
      </c>
      <c r="AC74" s="0" t="s">
        <v>148</v>
      </c>
      <c r="AD74" s="0" t="s">
        <v>340</v>
      </c>
      <c r="AE74" s="0" t="s">
        <v>109</v>
      </c>
    </row>
    <row r="75">
      <c r="A75" s="0" t="s">
        <v>28</v>
      </c>
      <c r="B75" s="0" t="s">
        <v>30</v>
      </c>
      <c r="C75" s="0" t="s">
        <v>149</v>
      </c>
      <c r="D75" s="0" t="s">
        <v>339</v>
      </c>
      <c r="E75" s="0" t="s">
        <v>229</v>
      </c>
      <c r="F75" s="0">
        <v>0</v>
      </c>
      <c r="G75" s="0" t="s">
        <v>106</v>
      </c>
      <c r="H75" s="0">
        <v>0</v>
      </c>
      <c r="I75" s="0">
        <v>0</v>
      </c>
      <c r="J75" s="0">
        <v>0</v>
      </c>
      <c r="K75" s="0">
        <v>0</v>
      </c>
      <c r="L75" s="0">
        <v>0</v>
      </c>
      <c r="M75" s="0">
        <v>0</v>
      </c>
      <c r="N75" s="0" t="b">
        <v>0</v>
      </c>
      <c r="O75" s="2">
        <v>44613.583333333336</v>
      </c>
      <c r="P75" s="2">
        <v>44613.625</v>
      </c>
      <c r="Q75" s="2">
        <v>44613.208333333336</v>
      </c>
      <c r="R75" s="2">
        <v>44613.25</v>
      </c>
      <c r="S75" s="0">
        <v>60</v>
      </c>
      <c r="T75" s="0">
        <v>12</v>
      </c>
      <c r="U75" s="0">
        <v>50</v>
      </c>
      <c r="V75" s="0">
        <v>783</v>
      </c>
      <c r="W75" s="1">
        <f>=HYPERLINK("10.175.1.14\MWEB.12\BT\EntityDetails.10.175.1.14.MWEB.12.-net-.783.xlsx", "&lt;Detail&gt;")</f>
      </c>
      <c r="X75" s="1">
        <f>=HYPERLINK("10.175.1.14\MWEB.12\BT\MetricGraphs.BT.10.175.1.14.MWEB.12.xlsx", "&lt;Metrics&gt;")</f>
      </c>
      <c r="Y75" s="1">
        <f>=HYPERLINK("10.175.1.14\MWEB.12\BT\FlameGraph.BT.10.175.1.14.MWEB.12.-net-.783.svg", "&lt;FlGraph&gt;")</f>
      </c>
      <c r="Z75" s="1">
        <f>=HYPERLINK("10.175.1.14\MWEB.12\BT\FlameChart.BT.10.175.1.14.MWEB.12.-net-.783.svg", "&lt;FlChart&gt;")</f>
      </c>
      <c r="AA75" s="0" t="s">
        <v>107</v>
      </c>
      <c r="AB75" s="0" t="s">
        <v>108</v>
      </c>
      <c r="AC75" s="0" t="s">
        <v>150</v>
      </c>
      <c r="AD75" s="0" t="s">
        <v>341</v>
      </c>
      <c r="AE75" s="0" t="s">
        <v>109</v>
      </c>
    </row>
    <row r="76">
      <c r="A76" s="0" t="s">
        <v>28</v>
      </c>
      <c r="B76" s="0" t="s">
        <v>30</v>
      </c>
      <c r="C76" s="0" t="s">
        <v>153</v>
      </c>
      <c r="D76" s="0" t="s">
        <v>339</v>
      </c>
      <c r="E76" s="0" t="s">
        <v>229</v>
      </c>
      <c r="F76" s="0">
        <v>0</v>
      </c>
      <c r="G76" s="0" t="s">
        <v>106</v>
      </c>
      <c r="H76" s="0">
        <v>0</v>
      </c>
      <c r="I76" s="0">
        <v>0</v>
      </c>
      <c r="J76" s="0">
        <v>0</v>
      </c>
      <c r="K76" s="0">
        <v>0</v>
      </c>
      <c r="L76" s="0">
        <v>0</v>
      </c>
      <c r="M76" s="0">
        <v>0</v>
      </c>
      <c r="N76" s="0" t="b">
        <v>0</v>
      </c>
      <c r="O76" s="2">
        <v>44613.583333333336</v>
      </c>
      <c r="P76" s="2">
        <v>44613.625</v>
      </c>
      <c r="Q76" s="2">
        <v>44613.208333333336</v>
      </c>
      <c r="R76" s="2">
        <v>44613.25</v>
      </c>
      <c r="S76" s="0">
        <v>60</v>
      </c>
      <c r="T76" s="0">
        <v>12</v>
      </c>
      <c r="U76" s="0">
        <v>51</v>
      </c>
      <c r="V76" s="0">
        <v>785</v>
      </c>
      <c r="W76" s="1">
        <f>=HYPERLINK("10.175.1.14\MWEB.12\BT\EntityDetails.10.175.1.14.MWEB.12.-net-.785.xlsx", "&lt;Detail&gt;")</f>
      </c>
      <c r="X76" s="1">
        <f>=HYPERLINK("10.175.1.14\MWEB.12\BT\MetricGraphs.BT.10.175.1.14.MWEB.12.xlsx", "&lt;Metrics&gt;")</f>
      </c>
      <c r="Y76" s="1">
        <f>=HYPERLINK("10.175.1.14\MWEB.12\BT\FlameGraph.BT.10.175.1.14.MWEB.12.-net-.785.svg", "&lt;FlGraph&gt;")</f>
      </c>
      <c r="Z76" s="1">
        <f>=HYPERLINK("10.175.1.14\MWEB.12\BT\FlameChart.BT.10.175.1.14.MWEB.12.-net-.785.svg", "&lt;FlChart&gt;")</f>
      </c>
      <c r="AA76" s="0" t="s">
        <v>107</v>
      </c>
      <c r="AB76" s="0" t="s">
        <v>108</v>
      </c>
      <c r="AC76" s="0" t="s">
        <v>154</v>
      </c>
      <c r="AD76" s="0" t="s">
        <v>342</v>
      </c>
      <c r="AE76" s="0" t="s">
        <v>109</v>
      </c>
    </row>
    <row r="77">
      <c r="A77" s="0" t="s">
        <v>28</v>
      </c>
      <c r="B77" s="0" t="s">
        <v>30</v>
      </c>
      <c r="C77" s="0" t="s">
        <v>127</v>
      </c>
      <c r="D77" s="0" t="s">
        <v>343</v>
      </c>
      <c r="E77" s="0" t="s">
        <v>229</v>
      </c>
      <c r="F77" s="0">
        <v>0</v>
      </c>
      <c r="G77" s="0" t="s">
        <v>106</v>
      </c>
      <c r="H77" s="0">
        <v>0</v>
      </c>
      <c r="I77" s="0">
        <v>0</v>
      </c>
      <c r="J77" s="0">
        <v>0</v>
      </c>
      <c r="K77" s="0">
        <v>0</v>
      </c>
      <c r="L77" s="0">
        <v>0</v>
      </c>
      <c r="M77" s="0">
        <v>0</v>
      </c>
      <c r="N77" s="0" t="b">
        <v>0</v>
      </c>
      <c r="O77" s="2">
        <v>44613.583333333336</v>
      </c>
      <c r="P77" s="2">
        <v>44613.625</v>
      </c>
      <c r="Q77" s="2">
        <v>44613.208333333336</v>
      </c>
      <c r="R77" s="2">
        <v>44613.25</v>
      </c>
      <c r="S77" s="0">
        <v>60</v>
      </c>
      <c r="T77" s="0">
        <v>12</v>
      </c>
      <c r="U77" s="0">
        <v>39</v>
      </c>
      <c r="V77" s="0">
        <v>209</v>
      </c>
      <c r="W77" s="1">
        <f>=HYPERLINK("10.175.1.14\MWEB.12\BT\EntityDetails.10.175.1.14.MWEB.12.-net-nyukai.209.xlsx", "&lt;Detail&gt;")</f>
      </c>
      <c r="X77" s="1">
        <f>=HYPERLINK("10.175.1.14\MWEB.12\BT\MetricGraphs.BT.10.175.1.14.MWEB.12.xlsx", "&lt;Metrics&gt;")</f>
      </c>
      <c r="Y77" s="1">
        <f>=HYPERLINK("10.175.1.14\MWEB.12\BT\FlameGraph.BT.10.175.1.14.MWEB.12.-net-nyukai.209.svg", "&lt;FlGraph&gt;")</f>
      </c>
      <c r="Z77" s="1">
        <f>=HYPERLINK("10.175.1.14\MWEB.12\BT\FlameChart.BT.10.175.1.14.MWEB.12.-net-nyukai.209.svg", "&lt;FlChart&gt;")</f>
      </c>
      <c r="AA77" s="0" t="s">
        <v>107</v>
      </c>
      <c r="AB77" s="0" t="s">
        <v>108</v>
      </c>
      <c r="AC77" s="0" t="s">
        <v>128</v>
      </c>
      <c r="AD77" s="0" t="s">
        <v>344</v>
      </c>
      <c r="AE77" s="0" t="s">
        <v>109</v>
      </c>
    </row>
    <row r="78">
      <c r="A78" s="0" t="s">
        <v>28</v>
      </c>
      <c r="B78" s="0" t="s">
        <v>30</v>
      </c>
      <c r="C78" s="0" t="s">
        <v>131</v>
      </c>
      <c r="D78" s="0" t="s">
        <v>345</v>
      </c>
      <c r="E78" s="0" t="s">
        <v>229</v>
      </c>
      <c r="F78" s="0">
        <v>0</v>
      </c>
      <c r="G78" s="0" t="s">
        <v>106</v>
      </c>
      <c r="H78" s="0">
        <v>0</v>
      </c>
      <c r="I78" s="0">
        <v>0</v>
      </c>
      <c r="J78" s="0">
        <v>0</v>
      </c>
      <c r="K78" s="0">
        <v>0</v>
      </c>
      <c r="L78" s="0">
        <v>0</v>
      </c>
      <c r="M78" s="0">
        <v>0</v>
      </c>
      <c r="N78" s="0" t="b">
        <v>0</v>
      </c>
      <c r="O78" s="2">
        <v>44613.583333333336</v>
      </c>
      <c r="P78" s="2">
        <v>44613.625</v>
      </c>
      <c r="Q78" s="2">
        <v>44613.208333333336</v>
      </c>
      <c r="R78" s="2">
        <v>44613.25</v>
      </c>
      <c r="S78" s="0">
        <v>60</v>
      </c>
      <c r="T78" s="0">
        <v>12</v>
      </c>
      <c r="U78" s="0">
        <v>40</v>
      </c>
      <c r="V78" s="0">
        <v>424</v>
      </c>
      <c r="W78" s="1">
        <f>=HYPERLINK("10.175.1.14\MWEB.12\BT\EntityDetails.10.175.1.14.MWEB.12.-net-online.424.xlsx", "&lt;Detail&gt;")</f>
      </c>
      <c r="X78" s="1">
        <f>=HYPERLINK("10.175.1.14\MWEB.12\BT\MetricGraphs.BT.10.175.1.14.MWEB.12.xlsx", "&lt;Metrics&gt;")</f>
      </c>
      <c r="Y78" s="1">
        <f>=HYPERLINK("10.175.1.14\MWEB.12\BT\FlameGraph.BT.10.175.1.14.MWEB.12.-net-online.424.svg", "&lt;FlGraph&gt;")</f>
      </c>
      <c r="Z78" s="1">
        <f>=HYPERLINK("10.175.1.14\MWEB.12\BT\FlameChart.BT.10.175.1.14.MWEB.12.-net-online.424.svg", "&lt;FlChart&gt;")</f>
      </c>
      <c r="AA78" s="0" t="s">
        <v>107</v>
      </c>
      <c r="AB78" s="0" t="s">
        <v>108</v>
      </c>
      <c r="AC78" s="0" t="s">
        <v>132</v>
      </c>
      <c r="AD78" s="0" t="s">
        <v>346</v>
      </c>
      <c r="AE78" s="0" t="s">
        <v>109</v>
      </c>
    </row>
    <row r="79">
      <c r="A79" s="0" t="s">
        <v>28</v>
      </c>
      <c r="B79" s="0" t="s">
        <v>30</v>
      </c>
      <c r="C79" s="0" t="s">
        <v>139</v>
      </c>
      <c r="D79" s="0" t="s">
        <v>347</v>
      </c>
      <c r="E79" s="0" t="s">
        <v>223</v>
      </c>
      <c r="F79" s="0">
        <v>0</v>
      </c>
      <c r="G79" s="0" t="s">
        <v>106</v>
      </c>
      <c r="H79" s="0">
        <v>0</v>
      </c>
      <c r="I79" s="0">
        <v>0</v>
      </c>
      <c r="J79" s="0">
        <v>0</v>
      </c>
      <c r="K79" s="0">
        <v>0</v>
      </c>
      <c r="L79" s="0">
        <v>0</v>
      </c>
      <c r="M79" s="0">
        <v>0</v>
      </c>
      <c r="N79" s="0" t="b">
        <v>0</v>
      </c>
      <c r="O79" s="2">
        <v>44613.583333333336</v>
      </c>
      <c r="P79" s="2">
        <v>44613.625</v>
      </c>
      <c r="Q79" s="2">
        <v>44613.208333333336</v>
      </c>
      <c r="R79" s="2">
        <v>44613.25</v>
      </c>
      <c r="S79" s="0">
        <v>60</v>
      </c>
      <c r="T79" s="0">
        <v>12</v>
      </c>
      <c r="U79" s="0">
        <v>35</v>
      </c>
      <c r="V79" s="0">
        <v>434</v>
      </c>
      <c r="W79" s="1">
        <f>=HYPERLINK("10.175.1.14\MWEB.12\BT\EntityDetails.10.175.1.14.MWEB.12.-newsplus.434.xlsx", "&lt;Detail&gt;")</f>
      </c>
      <c r="X79" s="1">
        <f>=HYPERLINK("10.175.1.14\MWEB.12\BT\MetricGraphs.BT.10.175.1.14.MWEB.12.xlsx", "&lt;Metrics&gt;")</f>
      </c>
      <c r="Y79" s="1">
        <f>=HYPERLINK("10.175.1.14\MWEB.12\BT\FlameGraph.BT.10.175.1.14.MWEB.12.-newsplus.434.svg", "&lt;FlGraph&gt;")</f>
      </c>
      <c r="Z79" s="1">
        <f>=HYPERLINK("10.175.1.14\MWEB.12\BT\FlameChart.BT.10.175.1.14.MWEB.12.-newsplus.434.svg", "&lt;FlChart&gt;")</f>
      </c>
      <c r="AA79" s="0" t="s">
        <v>107</v>
      </c>
      <c r="AB79" s="0" t="s">
        <v>108</v>
      </c>
      <c r="AC79" s="0" t="s">
        <v>142</v>
      </c>
      <c r="AD79" s="0" t="s">
        <v>348</v>
      </c>
      <c r="AE79" s="0" t="s">
        <v>109</v>
      </c>
    </row>
    <row r="80">
      <c r="A80" s="0" t="s">
        <v>28</v>
      </c>
      <c r="B80" s="0" t="s">
        <v>30</v>
      </c>
      <c r="C80" s="0" t="s">
        <v>139</v>
      </c>
      <c r="D80" s="0" t="s">
        <v>349</v>
      </c>
      <c r="E80" s="0" t="s">
        <v>223</v>
      </c>
      <c r="F80" s="0">
        <v>0</v>
      </c>
      <c r="G80" s="0" t="s">
        <v>106</v>
      </c>
      <c r="H80" s="0">
        <v>0</v>
      </c>
      <c r="I80" s="0">
        <v>0</v>
      </c>
      <c r="J80" s="0">
        <v>0</v>
      </c>
      <c r="K80" s="0">
        <v>0</v>
      </c>
      <c r="L80" s="0">
        <v>0</v>
      </c>
      <c r="M80" s="0">
        <v>0</v>
      </c>
      <c r="N80" s="0" t="b">
        <v>0</v>
      </c>
      <c r="O80" s="2">
        <v>44613.583333333336</v>
      </c>
      <c r="P80" s="2">
        <v>44613.625</v>
      </c>
      <c r="Q80" s="2">
        <v>44613.208333333336</v>
      </c>
      <c r="R80" s="2">
        <v>44613.25</v>
      </c>
      <c r="S80" s="0">
        <v>60</v>
      </c>
      <c r="T80" s="0">
        <v>12</v>
      </c>
      <c r="U80" s="0">
        <v>35</v>
      </c>
      <c r="V80" s="0">
        <v>92</v>
      </c>
      <c r="W80" s="1">
        <f>=HYPERLINK("10.175.1.14\MWEB.12\BT\EntityDetails.10.175.1.14.MWEB.12.-newsplus-.92.xlsx", "&lt;Detail&gt;")</f>
      </c>
      <c r="X80" s="1">
        <f>=HYPERLINK("10.175.1.14\MWEB.12\BT\MetricGraphs.BT.10.175.1.14.MWEB.12.xlsx", "&lt;Metrics&gt;")</f>
      </c>
      <c r="Y80" s="1">
        <f>=HYPERLINK("10.175.1.14\MWEB.12\BT\FlameGraph.BT.10.175.1.14.MWEB.12.-newsplus-.92.svg", "&lt;FlGraph&gt;")</f>
      </c>
      <c r="Z80" s="1">
        <f>=HYPERLINK("10.175.1.14\MWEB.12\BT\FlameChart.BT.10.175.1.14.MWEB.12.-newsplus-.92.svg", "&lt;FlChart&gt;")</f>
      </c>
      <c r="AA80" s="0" t="s">
        <v>107</v>
      </c>
      <c r="AB80" s="0" t="s">
        <v>108</v>
      </c>
      <c r="AC80" s="0" t="s">
        <v>142</v>
      </c>
      <c r="AD80" s="0" t="s">
        <v>350</v>
      </c>
      <c r="AE80" s="0" t="s">
        <v>109</v>
      </c>
    </row>
    <row r="81">
      <c r="A81" s="0" t="s">
        <v>28</v>
      </c>
      <c r="B81" s="0" t="s">
        <v>30</v>
      </c>
      <c r="C81" s="0" t="s">
        <v>161</v>
      </c>
      <c r="D81" s="0" t="s">
        <v>349</v>
      </c>
      <c r="E81" s="0" t="s">
        <v>223</v>
      </c>
      <c r="F81" s="0">
        <v>0</v>
      </c>
      <c r="G81" s="0" t="s">
        <v>106</v>
      </c>
      <c r="H81" s="0">
        <v>0</v>
      </c>
      <c r="I81" s="0">
        <v>0</v>
      </c>
      <c r="J81" s="0">
        <v>0</v>
      </c>
      <c r="K81" s="0">
        <v>0</v>
      </c>
      <c r="L81" s="0">
        <v>0</v>
      </c>
      <c r="M81" s="0">
        <v>0</v>
      </c>
      <c r="N81" s="0" t="b">
        <v>0</v>
      </c>
      <c r="O81" s="2">
        <v>44613.583333333336</v>
      </c>
      <c r="P81" s="2">
        <v>44613.625</v>
      </c>
      <c r="Q81" s="2">
        <v>44613.208333333336</v>
      </c>
      <c r="R81" s="2">
        <v>44613.25</v>
      </c>
      <c r="S81" s="0">
        <v>60</v>
      </c>
      <c r="T81" s="0">
        <v>12</v>
      </c>
      <c r="U81" s="0">
        <v>48</v>
      </c>
      <c r="V81" s="0">
        <v>712</v>
      </c>
      <c r="W81" s="1">
        <f>=HYPERLINK("10.175.1.14\MWEB.12\BT\EntityDetails.10.175.1.14.MWEB.12.-newsplus-.712.xlsx", "&lt;Detail&gt;")</f>
      </c>
      <c r="X81" s="1">
        <f>=HYPERLINK("10.175.1.14\MWEB.12\BT\MetricGraphs.BT.10.175.1.14.MWEB.12.xlsx", "&lt;Metrics&gt;")</f>
      </c>
      <c r="Y81" s="1">
        <f>=HYPERLINK("10.175.1.14\MWEB.12\BT\FlameGraph.BT.10.175.1.14.MWEB.12.-newsplus-.712.svg", "&lt;FlGraph&gt;")</f>
      </c>
      <c r="Z81" s="1">
        <f>=HYPERLINK("10.175.1.14\MWEB.12\BT\FlameChart.BT.10.175.1.14.MWEB.12.-newsplus-.712.svg", "&lt;FlChart&gt;")</f>
      </c>
      <c r="AA81" s="0" t="s">
        <v>107</v>
      </c>
      <c r="AB81" s="0" t="s">
        <v>108</v>
      </c>
      <c r="AC81" s="0" t="s">
        <v>162</v>
      </c>
      <c r="AD81" s="0" t="s">
        <v>351</v>
      </c>
      <c r="AE81" s="0" t="s">
        <v>109</v>
      </c>
    </row>
    <row r="82">
      <c r="A82" s="0" t="s">
        <v>28</v>
      </c>
      <c r="B82" s="0" t="s">
        <v>30</v>
      </c>
      <c r="C82" s="0" t="s">
        <v>139</v>
      </c>
      <c r="D82" s="0" t="s">
        <v>352</v>
      </c>
      <c r="E82" s="0" t="s">
        <v>223</v>
      </c>
      <c r="F82" s="0">
        <v>0</v>
      </c>
      <c r="G82" s="0" t="s">
        <v>106</v>
      </c>
      <c r="H82" s="0">
        <v>0</v>
      </c>
      <c r="I82" s="0">
        <v>0</v>
      </c>
      <c r="J82" s="0">
        <v>0</v>
      </c>
      <c r="K82" s="0">
        <v>0</v>
      </c>
      <c r="L82" s="0">
        <v>0</v>
      </c>
      <c r="M82" s="0">
        <v>0</v>
      </c>
      <c r="N82" s="0" t="b">
        <v>0</v>
      </c>
      <c r="O82" s="2">
        <v>44613.583333333336</v>
      </c>
      <c r="P82" s="2">
        <v>44613.625</v>
      </c>
      <c r="Q82" s="2">
        <v>44613.208333333336</v>
      </c>
      <c r="R82" s="2">
        <v>44613.25</v>
      </c>
      <c r="S82" s="0">
        <v>60</v>
      </c>
      <c r="T82" s="0">
        <v>12</v>
      </c>
      <c r="U82" s="0">
        <v>35</v>
      </c>
      <c r="V82" s="0">
        <v>253</v>
      </c>
      <c r="W82" s="1">
        <f>=HYPERLINK("10.175.1.14\MWEB.12\BT\EntityDetails.10.175.1.14.MWEB.12.-newsplus-ab.253.xlsx", "&lt;Detail&gt;")</f>
      </c>
      <c r="X82" s="1">
        <f>=HYPERLINK("10.175.1.14\MWEB.12\BT\MetricGraphs.BT.10.175.1.14.MWEB.12.xlsx", "&lt;Metrics&gt;")</f>
      </c>
      <c r="Y82" s="1">
        <f>=HYPERLINK("10.175.1.14\MWEB.12\BT\FlameGraph.BT.10.175.1.14.MWEB.12.-newsplus-ab.253.svg", "&lt;FlGraph&gt;")</f>
      </c>
      <c r="Z82" s="1">
        <f>=HYPERLINK("10.175.1.14\MWEB.12\BT\FlameChart.BT.10.175.1.14.MWEB.12.-newsplus-ab.253.svg", "&lt;FlChart&gt;")</f>
      </c>
      <c r="AA82" s="0" t="s">
        <v>107</v>
      </c>
      <c r="AB82" s="0" t="s">
        <v>108</v>
      </c>
      <c r="AC82" s="0" t="s">
        <v>142</v>
      </c>
      <c r="AD82" s="0" t="s">
        <v>353</v>
      </c>
      <c r="AE82" s="0" t="s">
        <v>109</v>
      </c>
    </row>
    <row r="83">
      <c r="A83" s="0" t="s">
        <v>28</v>
      </c>
      <c r="B83" s="0" t="s">
        <v>30</v>
      </c>
      <c r="C83" s="0" t="s">
        <v>139</v>
      </c>
      <c r="D83" s="0" t="s">
        <v>354</v>
      </c>
      <c r="E83" s="0" t="s">
        <v>223</v>
      </c>
      <c r="F83" s="0">
        <v>0</v>
      </c>
      <c r="G83" s="0" t="s">
        <v>106</v>
      </c>
      <c r="H83" s="0">
        <v>0</v>
      </c>
      <c r="I83" s="0">
        <v>0</v>
      </c>
      <c r="J83" s="0">
        <v>0</v>
      </c>
      <c r="K83" s="0">
        <v>0</v>
      </c>
      <c r="L83" s="0">
        <v>0</v>
      </c>
      <c r="M83" s="0">
        <v>0</v>
      </c>
      <c r="N83" s="0" t="b">
        <v>0</v>
      </c>
      <c r="O83" s="2">
        <v>44613.583333333336</v>
      </c>
      <c r="P83" s="2">
        <v>44613.625</v>
      </c>
      <c r="Q83" s="2">
        <v>44613.208333333336</v>
      </c>
      <c r="R83" s="2">
        <v>44613.25</v>
      </c>
      <c r="S83" s="0">
        <v>60</v>
      </c>
      <c r="T83" s="0">
        <v>12</v>
      </c>
      <c r="U83" s="0">
        <v>35</v>
      </c>
      <c r="V83" s="0">
        <v>247</v>
      </c>
      <c r="W83" s="1">
        <f>=HYPERLINK("10.175.1.14\MWEB.12\BT\EntityDetails.10.175.1.14.MWEB.12.-newsplus-al.247.xlsx", "&lt;Detail&gt;")</f>
      </c>
      <c r="X83" s="1">
        <f>=HYPERLINK("10.175.1.14\MWEB.12\BT\MetricGraphs.BT.10.175.1.14.MWEB.12.xlsx", "&lt;Metrics&gt;")</f>
      </c>
      <c r="Y83" s="1">
        <f>=HYPERLINK("10.175.1.14\MWEB.12\BT\FlameGraph.BT.10.175.1.14.MWEB.12.-newsplus-al.247.svg", "&lt;FlGraph&gt;")</f>
      </c>
      <c r="Z83" s="1">
        <f>=HYPERLINK("10.175.1.14\MWEB.12\BT\FlameChart.BT.10.175.1.14.MWEB.12.-newsplus-al.247.svg", "&lt;FlChart&gt;")</f>
      </c>
      <c r="AA83" s="0" t="s">
        <v>107</v>
      </c>
      <c r="AB83" s="0" t="s">
        <v>108</v>
      </c>
      <c r="AC83" s="0" t="s">
        <v>142</v>
      </c>
      <c r="AD83" s="0" t="s">
        <v>355</v>
      </c>
      <c r="AE83" s="0" t="s">
        <v>109</v>
      </c>
    </row>
    <row r="84">
      <c r="A84" s="0" t="s">
        <v>28</v>
      </c>
      <c r="B84" s="0" t="s">
        <v>30</v>
      </c>
      <c r="C84" s="0" t="s">
        <v>139</v>
      </c>
      <c r="D84" s="0" t="s">
        <v>356</v>
      </c>
      <c r="E84" s="0" t="s">
        <v>223</v>
      </c>
      <c r="F84" s="0">
        <v>0</v>
      </c>
      <c r="G84" s="0" t="s">
        <v>106</v>
      </c>
      <c r="H84" s="0">
        <v>0</v>
      </c>
      <c r="I84" s="0">
        <v>0</v>
      </c>
      <c r="J84" s="0">
        <v>0</v>
      </c>
      <c r="K84" s="0">
        <v>0</v>
      </c>
      <c r="L84" s="0">
        <v>0</v>
      </c>
      <c r="M84" s="0">
        <v>0</v>
      </c>
      <c r="N84" s="0" t="b">
        <v>0</v>
      </c>
      <c r="O84" s="2">
        <v>44613.583333333336</v>
      </c>
      <c r="P84" s="2">
        <v>44613.625</v>
      </c>
      <c r="Q84" s="2">
        <v>44613.208333333336</v>
      </c>
      <c r="R84" s="2">
        <v>44613.25</v>
      </c>
      <c r="S84" s="0">
        <v>60</v>
      </c>
      <c r="T84" s="0">
        <v>12</v>
      </c>
      <c r="U84" s="0">
        <v>35</v>
      </c>
      <c r="V84" s="0">
        <v>295</v>
      </c>
      <c r="W84" s="1">
        <f>=HYPERLINK("10.175.1.14\MWEB.12\BT\EntityDetails.10.175.1.14.MWEB.12.-newsplus-am.295.xlsx", "&lt;Detail&gt;")</f>
      </c>
      <c r="X84" s="1">
        <f>=HYPERLINK("10.175.1.14\MWEB.12\BT\MetricGraphs.BT.10.175.1.14.MWEB.12.xlsx", "&lt;Metrics&gt;")</f>
      </c>
      <c r="Y84" s="1">
        <f>=HYPERLINK("10.175.1.14\MWEB.12\BT\FlameGraph.BT.10.175.1.14.MWEB.12.-newsplus-am.295.svg", "&lt;FlGraph&gt;")</f>
      </c>
      <c r="Z84" s="1">
        <f>=HYPERLINK("10.175.1.14\MWEB.12\BT\FlameChart.BT.10.175.1.14.MWEB.12.-newsplus-am.295.svg", "&lt;FlChart&gt;")</f>
      </c>
      <c r="AA84" s="0" t="s">
        <v>107</v>
      </c>
      <c r="AB84" s="0" t="s">
        <v>108</v>
      </c>
      <c r="AC84" s="0" t="s">
        <v>142</v>
      </c>
      <c r="AD84" s="0" t="s">
        <v>357</v>
      </c>
      <c r="AE84" s="0" t="s">
        <v>109</v>
      </c>
    </row>
    <row r="85">
      <c r="A85" s="0" t="s">
        <v>28</v>
      </c>
      <c r="B85" s="0" t="s">
        <v>30</v>
      </c>
      <c r="C85" s="0" t="s">
        <v>139</v>
      </c>
      <c r="D85" s="0" t="s">
        <v>358</v>
      </c>
      <c r="E85" s="0" t="s">
        <v>223</v>
      </c>
      <c r="F85" s="0">
        <v>0</v>
      </c>
      <c r="G85" s="0" t="s">
        <v>106</v>
      </c>
      <c r="H85" s="0">
        <v>0</v>
      </c>
      <c r="I85" s="0">
        <v>0</v>
      </c>
      <c r="J85" s="0">
        <v>0</v>
      </c>
      <c r="K85" s="0">
        <v>0</v>
      </c>
      <c r="L85" s="0">
        <v>0</v>
      </c>
      <c r="M85" s="0">
        <v>0</v>
      </c>
      <c r="N85" s="0" t="b">
        <v>0</v>
      </c>
      <c r="O85" s="2">
        <v>44613.583333333336</v>
      </c>
      <c r="P85" s="2">
        <v>44613.625</v>
      </c>
      <c r="Q85" s="2">
        <v>44613.208333333336</v>
      </c>
      <c r="R85" s="2">
        <v>44613.25</v>
      </c>
      <c r="S85" s="0">
        <v>60</v>
      </c>
      <c r="T85" s="0">
        <v>12</v>
      </c>
      <c r="U85" s="0">
        <v>35</v>
      </c>
      <c r="V85" s="0">
        <v>264</v>
      </c>
      <c r="W85" s="1">
        <f>=HYPERLINK("10.175.1.14\MWEB.12\BT\EntityDetails.10.175.1.14.MWEB.12.-newsplus-br.264.xlsx", "&lt;Detail&gt;")</f>
      </c>
      <c r="X85" s="1">
        <f>=HYPERLINK("10.175.1.14\MWEB.12\BT\MetricGraphs.BT.10.175.1.14.MWEB.12.xlsx", "&lt;Metrics&gt;")</f>
      </c>
      <c r="Y85" s="1">
        <f>=HYPERLINK("10.175.1.14\MWEB.12\BT\FlameGraph.BT.10.175.1.14.MWEB.12.-newsplus-br.264.svg", "&lt;FlGraph&gt;")</f>
      </c>
      <c r="Z85" s="1">
        <f>=HYPERLINK("10.175.1.14\MWEB.12\BT\FlameChart.BT.10.175.1.14.MWEB.12.-newsplus-br.264.svg", "&lt;FlChart&gt;")</f>
      </c>
      <c r="AA85" s="0" t="s">
        <v>107</v>
      </c>
      <c r="AB85" s="0" t="s">
        <v>108</v>
      </c>
      <c r="AC85" s="0" t="s">
        <v>142</v>
      </c>
      <c r="AD85" s="0" t="s">
        <v>359</v>
      </c>
      <c r="AE85" s="0" t="s">
        <v>109</v>
      </c>
    </row>
    <row r="86">
      <c r="A86" s="0" t="s">
        <v>28</v>
      </c>
      <c r="B86" s="0" t="s">
        <v>30</v>
      </c>
      <c r="C86" s="0" t="s">
        <v>161</v>
      </c>
      <c r="D86" s="0" t="s">
        <v>358</v>
      </c>
      <c r="E86" s="0" t="s">
        <v>223</v>
      </c>
      <c r="F86" s="0">
        <v>0</v>
      </c>
      <c r="G86" s="0" t="s">
        <v>106</v>
      </c>
      <c r="H86" s="0">
        <v>0</v>
      </c>
      <c r="I86" s="0">
        <v>0</v>
      </c>
      <c r="J86" s="0">
        <v>0</v>
      </c>
      <c r="K86" s="0">
        <v>0</v>
      </c>
      <c r="L86" s="0">
        <v>0</v>
      </c>
      <c r="M86" s="0">
        <v>0</v>
      </c>
      <c r="N86" s="0" t="b">
        <v>0</v>
      </c>
      <c r="O86" s="2">
        <v>44613.583333333336</v>
      </c>
      <c r="P86" s="2">
        <v>44613.625</v>
      </c>
      <c r="Q86" s="2">
        <v>44613.208333333336</v>
      </c>
      <c r="R86" s="2">
        <v>44613.25</v>
      </c>
      <c r="S86" s="0">
        <v>60</v>
      </c>
      <c r="T86" s="0">
        <v>12</v>
      </c>
      <c r="U86" s="0">
        <v>48</v>
      </c>
      <c r="V86" s="0">
        <v>895</v>
      </c>
      <c r="W86" s="1">
        <f>=HYPERLINK("10.175.1.14\MWEB.12\BT\EntityDetails.10.175.1.14.MWEB.12.-newsplus-br.895.xlsx", "&lt;Detail&gt;")</f>
      </c>
      <c r="X86" s="1">
        <f>=HYPERLINK("10.175.1.14\MWEB.12\BT\MetricGraphs.BT.10.175.1.14.MWEB.12.xlsx", "&lt;Metrics&gt;")</f>
      </c>
      <c r="Y86" s="1">
        <f>=HYPERLINK("10.175.1.14\MWEB.12\BT\FlameGraph.BT.10.175.1.14.MWEB.12.-newsplus-br.895.svg", "&lt;FlGraph&gt;")</f>
      </c>
      <c r="Z86" s="1">
        <f>=HYPERLINK("10.175.1.14\MWEB.12\BT\FlameChart.BT.10.175.1.14.MWEB.12.-newsplus-br.895.svg", "&lt;FlChart&gt;")</f>
      </c>
      <c r="AA86" s="0" t="s">
        <v>107</v>
      </c>
      <c r="AB86" s="0" t="s">
        <v>108</v>
      </c>
      <c r="AC86" s="0" t="s">
        <v>162</v>
      </c>
      <c r="AD86" s="0" t="s">
        <v>360</v>
      </c>
      <c r="AE86" s="0" t="s">
        <v>109</v>
      </c>
    </row>
    <row r="87">
      <c r="A87" s="0" t="s">
        <v>28</v>
      </c>
      <c r="B87" s="0" t="s">
        <v>30</v>
      </c>
      <c r="C87" s="0" t="s">
        <v>139</v>
      </c>
      <c r="D87" s="0" t="s">
        <v>361</v>
      </c>
      <c r="E87" s="0" t="s">
        <v>223</v>
      </c>
      <c r="F87" s="0">
        <v>0</v>
      </c>
      <c r="G87" s="0" t="s">
        <v>106</v>
      </c>
      <c r="H87" s="0">
        <v>0</v>
      </c>
      <c r="I87" s="0">
        <v>0</v>
      </c>
      <c r="J87" s="0">
        <v>0</v>
      </c>
      <c r="K87" s="0">
        <v>0</v>
      </c>
      <c r="L87" s="0">
        <v>0</v>
      </c>
      <c r="M87" s="0">
        <v>0</v>
      </c>
      <c r="N87" s="0" t="b">
        <v>0</v>
      </c>
      <c r="O87" s="2">
        <v>44613.583333333336</v>
      </c>
      <c r="P87" s="2">
        <v>44613.625</v>
      </c>
      <c r="Q87" s="2">
        <v>44613.208333333336</v>
      </c>
      <c r="R87" s="2">
        <v>44613.25</v>
      </c>
      <c r="S87" s="0">
        <v>60</v>
      </c>
      <c r="T87" s="0">
        <v>12</v>
      </c>
      <c r="U87" s="0">
        <v>35</v>
      </c>
      <c r="V87" s="0">
        <v>117</v>
      </c>
      <c r="W87" s="1">
        <f>=HYPERLINK("10.175.1.14\MWEB.12\BT\EntityDetails.10.175.1.14.MWEB.12.-newsplus-ca.117.xlsx", "&lt;Detail&gt;")</f>
      </c>
      <c r="X87" s="1">
        <f>=HYPERLINK("10.175.1.14\MWEB.12\BT\MetricGraphs.BT.10.175.1.14.MWEB.12.xlsx", "&lt;Metrics&gt;")</f>
      </c>
      <c r="Y87" s="1">
        <f>=HYPERLINK("10.175.1.14\MWEB.12\BT\FlameGraph.BT.10.175.1.14.MWEB.12.-newsplus-ca.117.svg", "&lt;FlGraph&gt;")</f>
      </c>
      <c r="Z87" s="1">
        <f>=HYPERLINK("10.175.1.14\MWEB.12\BT\FlameChart.BT.10.175.1.14.MWEB.12.-newsplus-ca.117.svg", "&lt;FlChart&gt;")</f>
      </c>
      <c r="AA87" s="0" t="s">
        <v>107</v>
      </c>
      <c r="AB87" s="0" t="s">
        <v>108</v>
      </c>
      <c r="AC87" s="0" t="s">
        <v>142</v>
      </c>
      <c r="AD87" s="0" t="s">
        <v>362</v>
      </c>
      <c r="AE87" s="0" t="s">
        <v>109</v>
      </c>
    </row>
    <row r="88">
      <c r="A88" s="0" t="s">
        <v>28</v>
      </c>
      <c r="B88" s="0" t="s">
        <v>30</v>
      </c>
      <c r="C88" s="0" t="s">
        <v>161</v>
      </c>
      <c r="D88" s="0" t="s">
        <v>361</v>
      </c>
      <c r="E88" s="0" t="s">
        <v>223</v>
      </c>
      <c r="F88" s="0">
        <v>0</v>
      </c>
      <c r="G88" s="0" t="s">
        <v>106</v>
      </c>
      <c r="H88" s="0">
        <v>0</v>
      </c>
      <c r="I88" s="0">
        <v>0</v>
      </c>
      <c r="J88" s="0">
        <v>0</v>
      </c>
      <c r="K88" s="0">
        <v>0</v>
      </c>
      <c r="L88" s="0">
        <v>0</v>
      </c>
      <c r="M88" s="0">
        <v>0</v>
      </c>
      <c r="N88" s="0" t="b">
        <v>0</v>
      </c>
      <c r="O88" s="2">
        <v>44613.583333333336</v>
      </c>
      <c r="P88" s="2">
        <v>44613.625</v>
      </c>
      <c r="Q88" s="2">
        <v>44613.208333333336</v>
      </c>
      <c r="R88" s="2">
        <v>44613.25</v>
      </c>
      <c r="S88" s="0">
        <v>60</v>
      </c>
      <c r="T88" s="0">
        <v>12</v>
      </c>
      <c r="U88" s="0">
        <v>48</v>
      </c>
      <c r="V88" s="0">
        <v>904</v>
      </c>
      <c r="W88" s="1">
        <f>=HYPERLINK("10.175.1.14\MWEB.12\BT\EntityDetails.10.175.1.14.MWEB.12.-newsplus-ca.904.xlsx", "&lt;Detail&gt;")</f>
      </c>
      <c r="X88" s="1">
        <f>=HYPERLINK("10.175.1.14\MWEB.12\BT\MetricGraphs.BT.10.175.1.14.MWEB.12.xlsx", "&lt;Metrics&gt;")</f>
      </c>
      <c r="Y88" s="1">
        <f>=HYPERLINK("10.175.1.14\MWEB.12\BT\FlameGraph.BT.10.175.1.14.MWEB.12.-newsplus-ca.904.svg", "&lt;FlGraph&gt;")</f>
      </c>
      <c r="Z88" s="1">
        <f>=HYPERLINK("10.175.1.14\MWEB.12\BT\FlameChart.BT.10.175.1.14.MWEB.12.-newsplus-ca.904.svg", "&lt;FlChart&gt;")</f>
      </c>
      <c r="AA88" s="0" t="s">
        <v>107</v>
      </c>
      <c r="AB88" s="0" t="s">
        <v>108</v>
      </c>
      <c r="AC88" s="0" t="s">
        <v>162</v>
      </c>
      <c r="AD88" s="0" t="s">
        <v>363</v>
      </c>
      <c r="AE88" s="0" t="s">
        <v>109</v>
      </c>
    </row>
    <row r="89">
      <c r="A89" s="0" t="s">
        <v>28</v>
      </c>
      <c r="B89" s="0" t="s">
        <v>30</v>
      </c>
      <c r="C89" s="0" t="s">
        <v>139</v>
      </c>
      <c r="D89" s="0" t="s">
        <v>364</v>
      </c>
      <c r="E89" s="0" t="s">
        <v>223</v>
      </c>
      <c r="F89" s="0">
        <v>0</v>
      </c>
      <c r="G89" s="0" t="s">
        <v>106</v>
      </c>
      <c r="H89" s="0">
        <v>0</v>
      </c>
      <c r="I89" s="0">
        <v>0</v>
      </c>
      <c r="J89" s="0">
        <v>0</v>
      </c>
      <c r="K89" s="0">
        <v>0</v>
      </c>
      <c r="L89" s="0">
        <v>0</v>
      </c>
      <c r="M89" s="0">
        <v>0</v>
      </c>
      <c r="N89" s="0" t="b">
        <v>0</v>
      </c>
      <c r="O89" s="2">
        <v>44613.583333333336</v>
      </c>
      <c r="P89" s="2">
        <v>44613.625</v>
      </c>
      <c r="Q89" s="2">
        <v>44613.208333333336</v>
      </c>
      <c r="R89" s="2">
        <v>44613.25</v>
      </c>
      <c r="S89" s="0">
        <v>60</v>
      </c>
      <c r="T89" s="0">
        <v>12</v>
      </c>
      <c r="U89" s="0">
        <v>35</v>
      </c>
      <c r="V89" s="0">
        <v>274</v>
      </c>
      <c r="W89" s="1">
        <f>=HYPERLINK("10.175.1.14\MWEB.12\BT\EntityDetails.10.175.1.14.MWEB.12.-newsplus-ca.274.xlsx", "&lt;Detail&gt;")</f>
      </c>
      <c r="X89" s="1">
        <f>=HYPERLINK("10.175.1.14\MWEB.12\BT\MetricGraphs.BT.10.175.1.14.MWEB.12.xlsx", "&lt;Metrics&gt;")</f>
      </c>
      <c r="Y89" s="1">
        <f>=HYPERLINK("10.175.1.14\MWEB.12\BT\FlameGraph.BT.10.175.1.14.MWEB.12.-newsplus-ca.274.svg", "&lt;FlGraph&gt;")</f>
      </c>
      <c r="Z89" s="1">
        <f>=HYPERLINK("10.175.1.14\MWEB.12\BT\FlameChart.BT.10.175.1.14.MWEB.12.-newsplus-ca.274.svg", "&lt;FlChart&gt;")</f>
      </c>
      <c r="AA89" s="0" t="s">
        <v>107</v>
      </c>
      <c r="AB89" s="0" t="s">
        <v>108</v>
      </c>
      <c r="AC89" s="0" t="s">
        <v>142</v>
      </c>
      <c r="AD89" s="0" t="s">
        <v>365</v>
      </c>
      <c r="AE89" s="0" t="s">
        <v>109</v>
      </c>
    </row>
    <row r="90">
      <c r="A90" s="0" t="s">
        <v>28</v>
      </c>
      <c r="B90" s="0" t="s">
        <v>30</v>
      </c>
      <c r="C90" s="0" t="s">
        <v>161</v>
      </c>
      <c r="D90" s="0" t="s">
        <v>364</v>
      </c>
      <c r="E90" s="0" t="s">
        <v>223</v>
      </c>
      <c r="F90" s="0">
        <v>0</v>
      </c>
      <c r="G90" s="0" t="s">
        <v>106</v>
      </c>
      <c r="H90" s="0">
        <v>0</v>
      </c>
      <c r="I90" s="0">
        <v>0</v>
      </c>
      <c r="J90" s="0">
        <v>0</v>
      </c>
      <c r="K90" s="0">
        <v>0</v>
      </c>
      <c r="L90" s="0">
        <v>0</v>
      </c>
      <c r="M90" s="0">
        <v>0</v>
      </c>
      <c r="N90" s="0" t="b">
        <v>0</v>
      </c>
      <c r="O90" s="2">
        <v>44613.583333333336</v>
      </c>
      <c r="P90" s="2">
        <v>44613.625</v>
      </c>
      <c r="Q90" s="2">
        <v>44613.208333333336</v>
      </c>
      <c r="R90" s="2">
        <v>44613.25</v>
      </c>
      <c r="S90" s="0">
        <v>60</v>
      </c>
      <c r="T90" s="0">
        <v>12</v>
      </c>
      <c r="U90" s="0">
        <v>48</v>
      </c>
      <c r="V90" s="0">
        <v>906</v>
      </c>
      <c r="W90" s="1">
        <f>=HYPERLINK("10.175.1.14\MWEB.12\BT\EntityDetails.10.175.1.14.MWEB.12.-newsplus-ca.906.xlsx", "&lt;Detail&gt;")</f>
      </c>
      <c r="X90" s="1">
        <f>=HYPERLINK("10.175.1.14\MWEB.12\BT\MetricGraphs.BT.10.175.1.14.MWEB.12.xlsx", "&lt;Metrics&gt;")</f>
      </c>
      <c r="Y90" s="1">
        <f>=HYPERLINK("10.175.1.14\MWEB.12\BT\FlameGraph.BT.10.175.1.14.MWEB.12.-newsplus-ca.906.svg", "&lt;FlGraph&gt;")</f>
      </c>
      <c r="Z90" s="1">
        <f>=HYPERLINK("10.175.1.14\MWEB.12\BT\FlameChart.BT.10.175.1.14.MWEB.12.-newsplus-ca.906.svg", "&lt;FlChart&gt;")</f>
      </c>
      <c r="AA90" s="0" t="s">
        <v>107</v>
      </c>
      <c r="AB90" s="0" t="s">
        <v>108</v>
      </c>
      <c r="AC90" s="0" t="s">
        <v>162</v>
      </c>
      <c r="AD90" s="0" t="s">
        <v>366</v>
      </c>
      <c r="AE90" s="0" t="s">
        <v>109</v>
      </c>
    </row>
    <row r="91">
      <c r="A91" s="0" t="s">
        <v>28</v>
      </c>
      <c r="B91" s="0" t="s">
        <v>30</v>
      </c>
      <c r="C91" s="0" t="s">
        <v>139</v>
      </c>
      <c r="D91" s="0" t="s">
        <v>367</v>
      </c>
      <c r="E91" s="0" t="s">
        <v>223</v>
      </c>
      <c r="F91" s="0">
        <v>0</v>
      </c>
      <c r="G91" s="0" t="s">
        <v>106</v>
      </c>
      <c r="H91" s="0">
        <v>0</v>
      </c>
      <c r="I91" s="0">
        <v>0</v>
      </c>
      <c r="J91" s="0">
        <v>0</v>
      </c>
      <c r="K91" s="0">
        <v>0</v>
      </c>
      <c r="L91" s="0">
        <v>0</v>
      </c>
      <c r="M91" s="0">
        <v>0</v>
      </c>
      <c r="N91" s="0" t="b">
        <v>0</v>
      </c>
      <c r="O91" s="2">
        <v>44613.583333333336</v>
      </c>
      <c r="P91" s="2">
        <v>44613.625</v>
      </c>
      <c r="Q91" s="2">
        <v>44613.208333333336</v>
      </c>
      <c r="R91" s="2">
        <v>44613.25</v>
      </c>
      <c r="S91" s="0">
        <v>60</v>
      </c>
      <c r="T91" s="0">
        <v>12</v>
      </c>
      <c r="U91" s="0">
        <v>35</v>
      </c>
      <c r="V91" s="0">
        <v>299</v>
      </c>
      <c r="W91" s="1">
        <f>=HYPERLINK("10.175.1.14\MWEB.12\BT\EntityDetails.10.175.1.14.MWEB.12.-newsplus-ca.299.xlsx", "&lt;Detail&gt;")</f>
      </c>
      <c r="X91" s="1">
        <f>=HYPERLINK("10.175.1.14\MWEB.12\BT\MetricGraphs.BT.10.175.1.14.MWEB.12.xlsx", "&lt;Metrics&gt;")</f>
      </c>
      <c r="Y91" s="1">
        <f>=HYPERLINK("10.175.1.14\MWEB.12\BT\FlameGraph.BT.10.175.1.14.MWEB.12.-newsplus-ca.299.svg", "&lt;FlGraph&gt;")</f>
      </c>
      <c r="Z91" s="1">
        <f>=HYPERLINK("10.175.1.14\MWEB.12\BT\FlameChart.BT.10.175.1.14.MWEB.12.-newsplus-ca.299.svg", "&lt;FlChart&gt;")</f>
      </c>
      <c r="AA91" s="0" t="s">
        <v>107</v>
      </c>
      <c r="AB91" s="0" t="s">
        <v>108</v>
      </c>
      <c r="AC91" s="0" t="s">
        <v>142</v>
      </c>
      <c r="AD91" s="0" t="s">
        <v>368</v>
      </c>
      <c r="AE91" s="0" t="s">
        <v>109</v>
      </c>
    </row>
    <row r="92">
      <c r="A92" s="0" t="s">
        <v>28</v>
      </c>
      <c r="B92" s="0" t="s">
        <v>30</v>
      </c>
      <c r="C92" s="0" t="s">
        <v>139</v>
      </c>
      <c r="D92" s="0" t="s">
        <v>369</v>
      </c>
      <c r="E92" s="0" t="s">
        <v>223</v>
      </c>
      <c r="F92" s="0">
        <v>0</v>
      </c>
      <c r="G92" s="0" t="s">
        <v>106</v>
      </c>
      <c r="H92" s="0">
        <v>0</v>
      </c>
      <c r="I92" s="0">
        <v>0</v>
      </c>
      <c r="J92" s="0">
        <v>0</v>
      </c>
      <c r="K92" s="0">
        <v>0</v>
      </c>
      <c r="L92" s="0">
        <v>0</v>
      </c>
      <c r="M92" s="0">
        <v>0</v>
      </c>
      <c r="N92" s="0" t="b">
        <v>0</v>
      </c>
      <c r="O92" s="2">
        <v>44613.583333333336</v>
      </c>
      <c r="P92" s="2">
        <v>44613.625</v>
      </c>
      <c r="Q92" s="2">
        <v>44613.208333333336</v>
      </c>
      <c r="R92" s="2">
        <v>44613.25</v>
      </c>
      <c r="S92" s="0">
        <v>60</v>
      </c>
      <c r="T92" s="0">
        <v>12</v>
      </c>
      <c r="U92" s="0">
        <v>35</v>
      </c>
      <c r="V92" s="0">
        <v>395</v>
      </c>
      <c r="W92" s="1">
        <f>=HYPERLINK("10.175.1.14\MWEB.12\BT\EntityDetails.10.175.1.14.MWEB.12.-newsplus-co.395.xlsx", "&lt;Detail&gt;")</f>
      </c>
      <c r="X92" s="1">
        <f>=HYPERLINK("10.175.1.14\MWEB.12\BT\MetricGraphs.BT.10.175.1.14.MWEB.12.xlsx", "&lt;Metrics&gt;")</f>
      </c>
      <c r="Y92" s="1">
        <f>=HYPERLINK("10.175.1.14\MWEB.12\BT\FlameGraph.BT.10.175.1.14.MWEB.12.-newsplus-co.395.svg", "&lt;FlGraph&gt;")</f>
      </c>
      <c r="Z92" s="1">
        <f>=HYPERLINK("10.175.1.14\MWEB.12\BT\FlameChart.BT.10.175.1.14.MWEB.12.-newsplus-co.395.svg", "&lt;FlChart&gt;")</f>
      </c>
      <c r="AA92" s="0" t="s">
        <v>107</v>
      </c>
      <c r="AB92" s="0" t="s">
        <v>108</v>
      </c>
      <c r="AC92" s="0" t="s">
        <v>142</v>
      </c>
      <c r="AD92" s="0" t="s">
        <v>370</v>
      </c>
      <c r="AE92" s="0" t="s">
        <v>109</v>
      </c>
    </row>
    <row r="93">
      <c r="A93" s="0" t="s">
        <v>28</v>
      </c>
      <c r="B93" s="0" t="s">
        <v>30</v>
      </c>
      <c r="C93" s="0" t="s">
        <v>139</v>
      </c>
      <c r="D93" s="0" t="s">
        <v>371</v>
      </c>
      <c r="E93" s="0" t="s">
        <v>223</v>
      </c>
      <c r="F93" s="0">
        <v>0</v>
      </c>
      <c r="G93" s="0" t="s">
        <v>106</v>
      </c>
      <c r="H93" s="0">
        <v>0</v>
      </c>
      <c r="I93" s="0">
        <v>0</v>
      </c>
      <c r="J93" s="0">
        <v>0</v>
      </c>
      <c r="K93" s="0">
        <v>0</v>
      </c>
      <c r="L93" s="0">
        <v>0</v>
      </c>
      <c r="M93" s="0">
        <v>0</v>
      </c>
      <c r="N93" s="0" t="b">
        <v>0</v>
      </c>
      <c r="O93" s="2">
        <v>44613.583333333336</v>
      </c>
      <c r="P93" s="2">
        <v>44613.625</v>
      </c>
      <c r="Q93" s="2">
        <v>44613.208333333336</v>
      </c>
      <c r="R93" s="2">
        <v>44613.25</v>
      </c>
      <c r="S93" s="0">
        <v>60</v>
      </c>
      <c r="T93" s="0">
        <v>12</v>
      </c>
      <c r="U93" s="0">
        <v>35</v>
      </c>
      <c r="V93" s="0">
        <v>262</v>
      </c>
      <c r="W93" s="1">
        <f>=HYPERLINK("10.175.1.14\MWEB.12\BT\EntityDetails.10.175.1.14.MWEB.12.-newsplus-co.262.xlsx", "&lt;Detail&gt;")</f>
      </c>
      <c r="X93" s="1">
        <f>=HYPERLINK("10.175.1.14\MWEB.12\BT\MetricGraphs.BT.10.175.1.14.MWEB.12.xlsx", "&lt;Metrics&gt;")</f>
      </c>
      <c r="Y93" s="1">
        <f>=HYPERLINK("10.175.1.14\MWEB.12\BT\FlameGraph.BT.10.175.1.14.MWEB.12.-newsplus-co.262.svg", "&lt;FlGraph&gt;")</f>
      </c>
      <c r="Z93" s="1">
        <f>=HYPERLINK("10.175.1.14\MWEB.12\BT\FlameChart.BT.10.175.1.14.MWEB.12.-newsplus-co.262.svg", "&lt;FlChart&gt;")</f>
      </c>
      <c r="AA93" s="0" t="s">
        <v>107</v>
      </c>
      <c r="AB93" s="0" t="s">
        <v>108</v>
      </c>
      <c r="AC93" s="0" t="s">
        <v>142</v>
      </c>
      <c r="AD93" s="0" t="s">
        <v>372</v>
      </c>
      <c r="AE93" s="0" t="s">
        <v>109</v>
      </c>
    </row>
    <row r="94">
      <c r="A94" s="0" t="s">
        <v>28</v>
      </c>
      <c r="B94" s="0" t="s">
        <v>30</v>
      </c>
      <c r="C94" s="0" t="s">
        <v>161</v>
      </c>
      <c r="D94" s="0" t="s">
        <v>371</v>
      </c>
      <c r="E94" s="0" t="s">
        <v>223</v>
      </c>
      <c r="F94" s="0">
        <v>0</v>
      </c>
      <c r="G94" s="0" t="s">
        <v>106</v>
      </c>
      <c r="H94" s="0">
        <v>0</v>
      </c>
      <c r="I94" s="0">
        <v>0</v>
      </c>
      <c r="J94" s="0">
        <v>0</v>
      </c>
      <c r="K94" s="0">
        <v>0</v>
      </c>
      <c r="L94" s="0">
        <v>0</v>
      </c>
      <c r="M94" s="0">
        <v>0</v>
      </c>
      <c r="N94" s="0" t="b">
        <v>0</v>
      </c>
      <c r="O94" s="2">
        <v>44613.583333333336</v>
      </c>
      <c r="P94" s="2">
        <v>44613.625</v>
      </c>
      <c r="Q94" s="2">
        <v>44613.208333333336</v>
      </c>
      <c r="R94" s="2">
        <v>44613.25</v>
      </c>
      <c r="S94" s="0">
        <v>60</v>
      </c>
      <c r="T94" s="0">
        <v>12</v>
      </c>
      <c r="U94" s="0">
        <v>48</v>
      </c>
      <c r="V94" s="0">
        <v>907</v>
      </c>
      <c r="W94" s="1">
        <f>=HYPERLINK("10.175.1.14\MWEB.12\BT\EntityDetails.10.175.1.14.MWEB.12.-newsplus-co.907.xlsx", "&lt;Detail&gt;")</f>
      </c>
      <c r="X94" s="1">
        <f>=HYPERLINK("10.175.1.14\MWEB.12\BT\MetricGraphs.BT.10.175.1.14.MWEB.12.xlsx", "&lt;Metrics&gt;")</f>
      </c>
      <c r="Y94" s="1">
        <f>=HYPERLINK("10.175.1.14\MWEB.12\BT\FlameGraph.BT.10.175.1.14.MWEB.12.-newsplus-co.907.svg", "&lt;FlGraph&gt;")</f>
      </c>
      <c r="Z94" s="1">
        <f>=HYPERLINK("10.175.1.14\MWEB.12\BT\FlameChart.BT.10.175.1.14.MWEB.12.-newsplus-co.907.svg", "&lt;FlChart&gt;")</f>
      </c>
      <c r="AA94" s="0" t="s">
        <v>107</v>
      </c>
      <c r="AB94" s="0" t="s">
        <v>108</v>
      </c>
      <c r="AC94" s="0" t="s">
        <v>162</v>
      </c>
      <c r="AD94" s="0" t="s">
        <v>373</v>
      </c>
      <c r="AE94" s="0" t="s">
        <v>109</v>
      </c>
    </row>
    <row r="95">
      <c r="A95" s="0" t="s">
        <v>28</v>
      </c>
      <c r="B95" s="0" t="s">
        <v>30</v>
      </c>
      <c r="C95" s="0" t="s">
        <v>139</v>
      </c>
      <c r="D95" s="0" t="s">
        <v>374</v>
      </c>
      <c r="E95" s="0" t="s">
        <v>223</v>
      </c>
      <c r="F95" s="0">
        <v>0</v>
      </c>
      <c r="G95" s="0" t="s">
        <v>106</v>
      </c>
      <c r="H95" s="0">
        <v>0</v>
      </c>
      <c r="I95" s="0">
        <v>0</v>
      </c>
      <c r="J95" s="0">
        <v>0</v>
      </c>
      <c r="K95" s="0">
        <v>0</v>
      </c>
      <c r="L95" s="0">
        <v>0</v>
      </c>
      <c r="M95" s="0">
        <v>0</v>
      </c>
      <c r="N95" s="0" t="b">
        <v>0</v>
      </c>
      <c r="O95" s="2">
        <v>44613.583333333336</v>
      </c>
      <c r="P95" s="2">
        <v>44613.625</v>
      </c>
      <c r="Q95" s="2">
        <v>44613.208333333336</v>
      </c>
      <c r="R95" s="2">
        <v>44613.25</v>
      </c>
      <c r="S95" s="0">
        <v>60</v>
      </c>
      <c r="T95" s="0">
        <v>12</v>
      </c>
      <c r="U95" s="0">
        <v>35</v>
      </c>
      <c r="V95" s="0">
        <v>119</v>
      </c>
      <c r="W95" s="1">
        <f>=HYPERLINK("10.175.1.14\MWEB.12\BT\EntityDetails.10.175.1.14.MWEB.12.-newsplus-ec.119.xlsx", "&lt;Detail&gt;")</f>
      </c>
      <c r="X95" s="1">
        <f>=HYPERLINK("10.175.1.14\MWEB.12\BT\MetricGraphs.BT.10.175.1.14.MWEB.12.xlsx", "&lt;Metrics&gt;")</f>
      </c>
      <c r="Y95" s="1">
        <f>=HYPERLINK("10.175.1.14\MWEB.12\BT\FlameGraph.BT.10.175.1.14.MWEB.12.-newsplus-ec.119.svg", "&lt;FlGraph&gt;")</f>
      </c>
      <c r="Z95" s="1">
        <f>=HYPERLINK("10.175.1.14\MWEB.12\BT\FlameChart.BT.10.175.1.14.MWEB.12.-newsplus-ec.119.svg", "&lt;FlChart&gt;")</f>
      </c>
      <c r="AA95" s="0" t="s">
        <v>107</v>
      </c>
      <c r="AB95" s="0" t="s">
        <v>108</v>
      </c>
      <c r="AC95" s="0" t="s">
        <v>142</v>
      </c>
      <c r="AD95" s="0" t="s">
        <v>375</v>
      </c>
      <c r="AE95" s="0" t="s">
        <v>109</v>
      </c>
    </row>
    <row r="96">
      <c r="A96" s="0" t="s">
        <v>28</v>
      </c>
      <c r="B96" s="0" t="s">
        <v>30</v>
      </c>
      <c r="C96" s="0" t="s">
        <v>161</v>
      </c>
      <c r="D96" s="0" t="s">
        <v>374</v>
      </c>
      <c r="E96" s="0" t="s">
        <v>223</v>
      </c>
      <c r="F96" s="0">
        <v>0</v>
      </c>
      <c r="G96" s="0" t="s">
        <v>106</v>
      </c>
      <c r="H96" s="0">
        <v>0</v>
      </c>
      <c r="I96" s="0">
        <v>0</v>
      </c>
      <c r="J96" s="0">
        <v>0</v>
      </c>
      <c r="K96" s="0">
        <v>0</v>
      </c>
      <c r="L96" s="0">
        <v>0</v>
      </c>
      <c r="M96" s="0">
        <v>0</v>
      </c>
      <c r="N96" s="0" t="b">
        <v>0</v>
      </c>
      <c r="O96" s="2">
        <v>44613.583333333336</v>
      </c>
      <c r="P96" s="2">
        <v>44613.625</v>
      </c>
      <c r="Q96" s="2">
        <v>44613.208333333336</v>
      </c>
      <c r="R96" s="2">
        <v>44613.25</v>
      </c>
      <c r="S96" s="0">
        <v>60</v>
      </c>
      <c r="T96" s="0">
        <v>12</v>
      </c>
      <c r="U96" s="0">
        <v>48</v>
      </c>
      <c r="V96" s="0">
        <v>905</v>
      </c>
      <c r="W96" s="1">
        <f>=HYPERLINK("10.175.1.14\MWEB.12\BT\EntityDetails.10.175.1.14.MWEB.12.-newsplus-ec.905.xlsx", "&lt;Detail&gt;")</f>
      </c>
      <c r="X96" s="1">
        <f>=HYPERLINK("10.175.1.14\MWEB.12\BT\MetricGraphs.BT.10.175.1.14.MWEB.12.xlsx", "&lt;Metrics&gt;")</f>
      </c>
      <c r="Y96" s="1">
        <f>=HYPERLINK("10.175.1.14\MWEB.12\BT\FlameGraph.BT.10.175.1.14.MWEB.12.-newsplus-ec.905.svg", "&lt;FlGraph&gt;")</f>
      </c>
      <c r="Z96" s="1">
        <f>=HYPERLINK("10.175.1.14\MWEB.12\BT\FlameChart.BT.10.175.1.14.MWEB.12.-newsplus-ec.905.svg", "&lt;FlChart&gt;")</f>
      </c>
      <c r="AA96" s="0" t="s">
        <v>107</v>
      </c>
      <c r="AB96" s="0" t="s">
        <v>108</v>
      </c>
      <c r="AC96" s="0" t="s">
        <v>162</v>
      </c>
      <c r="AD96" s="0" t="s">
        <v>376</v>
      </c>
      <c r="AE96" s="0" t="s">
        <v>109</v>
      </c>
    </row>
    <row r="97">
      <c r="A97" s="0" t="s">
        <v>28</v>
      </c>
      <c r="B97" s="0" t="s">
        <v>30</v>
      </c>
      <c r="C97" s="0" t="s">
        <v>139</v>
      </c>
      <c r="D97" s="0" t="s">
        <v>377</v>
      </c>
      <c r="E97" s="0" t="s">
        <v>223</v>
      </c>
      <c r="F97" s="0">
        <v>0</v>
      </c>
      <c r="G97" s="0" t="s">
        <v>106</v>
      </c>
      <c r="H97" s="0">
        <v>0</v>
      </c>
      <c r="I97" s="0">
        <v>0</v>
      </c>
      <c r="J97" s="0">
        <v>0</v>
      </c>
      <c r="K97" s="0">
        <v>0</v>
      </c>
      <c r="L97" s="0">
        <v>0</v>
      </c>
      <c r="M97" s="0">
        <v>0</v>
      </c>
      <c r="N97" s="0" t="b">
        <v>0</v>
      </c>
      <c r="O97" s="2">
        <v>44613.583333333336</v>
      </c>
      <c r="P97" s="2">
        <v>44613.625</v>
      </c>
      <c r="Q97" s="2">
        <v>44613.208333333336</v>
      </c>
      <c r="R97" s="2">
        <v>44613.25</v>
      </c>
      <c r="S97" s="0">
        <v>60</v>
      </c>
      <c r="T97" s="0">
        <v>12</v>
      </c>
      <c r="U97" s="0">
        <v>35</v>
      </c>
      <c r="V97" s="0">
        <v>430</v>
      </c>
      <c r="W97" s="1">
        <f>=HYPERLINK("10.175.1.14\MWEB.12\BT\EntityDetails.10.175.1.14.MWEB.12.-newsplus-ec.430.xlsx", "&lt;Detail&gt;")</f>
      </c>
      <c r="X97" s="1">
        <f>=HYPERLINK("10.175.1.14\MWEB.12\BT\MetricGraphs.BT.10.175.1.14.MWEB.12.xlsx", "&lt;Metrics&gt;")</f>
      </c>
      <c r="Y97" s="1">
        <f>=HYPERLINK("10.175.1.14\MWEB.12\BT\FlameGraph.BT.10.175.1.14.MWEB.12.-newsplus-ec.430.svg", "&lt;FlGraph&gt;")</f>
      </c>
      <c r="Z97" s="1">
        <f>=HYPERLINK("10.175.1.14\MWEB.12\BT\FlameChart.BT.10.175.1.14.MWEB.12.-newsplus-ec.430.svg", "&lt;FlChart&gt;")</f>
      </c>
      <c r="AA97" s="0" t="s">
        <v>107</v>
      </c>
      <c r="AB97" s="0" t="s">
        <v>108</v>
      </c>
      <c r="AC97" s="0" t="s">
        <v>142</v>
      </c>
      <c r="AD97" s="0" t="s">
        <v>378</v>
      </c>
      <c r="AE97" s="0" t="s">
        <v>109</v>
      </c>
    </row>
    <row r="98">
      <c r="A98" s="0" t="s">
        <v>28</v>
      </c>
      <c r="B98" s="0" t="s">
        <v>30</v>
      </c>
      <c r="C98" s="0" t="s">
        <v>139</v>
      </c>
      <c r="D98" s="0" t="s">
        <v>379</v>
      </c>
      <c r="E98" s="0" t="s">
        <v>223</v>
      </c>
      <c r="F98" s="0">
        <v>0</v>
      </c>
      <c r="G98" s="0" t="s">
        <v>106</v>
      </c>
      <c r="H98" s="0">
        <v>0</v>
      </c>
      <c r="I98" s="0">
        <v>0</v>
      </c>
      <c r="J98" s="0">
        <v>0</v>
      </c>
      <c r="K98" s="0">
        <v>0</v>
      </c>
      <c r="L98" s="0">
        <v>0</v>
      </c>
      <c r="M98" s="0">
        <v>0</v>
      </c>
      <c r="N98" s="0" t="b">
        <v>0</v>
      </c>
      <c r="O98" s="2">
        <v>44613.583333333336</v>
      </c>
      <c r="P98" s="2">
        <v>44613.625</v>
      </c>
      <c r="Q98" s="2">
        <v>44613.208333333336</v>
      </c>
      <c r="R98" s="2">
        <v>44613.25</v>
      </c>
      <c r="S98" s="0">
        <v>60</v>
      </c>
      <c r="T98" s="0">
        <v>12</v>
      </c>
      <c r="U98" s="0">
        <v>35</v>
      </c>
      <c r="V98" s="0">
        <v>194</v>
      </c>
      <c r="W98" s="1">
        <f>=HYPERLINK("10.175.1.14\MWEB.12\BT\EntityDetails.10.175.1.14.MWEB.12.-newsplus-er.194.xlsx", "&lt;Detail&gt;")</f>
      </c>
      <c r="X98" s="1">
        <f>=HYPERLINK("10.175.1.14\MWEB.12\BT\MetricGraphs.BT.10.175.1.14.MWEB.12.xlsx", "&lt;Metrics&gt;")</f>
      </c>
      <c r="Y98" s="1">
        <f>=HYPERLINK("10.175.1.14\MWEB.12\BT\FlameGraph.BT.10.175.1.14.MWEB.12.-newsplus-er.194.svg", "&lt;FlGraph&gt;")</f>
      </c>
      <c r="Z98" s="1">
        <f>=HYPERLINK("10.175.1.14\MWEB.12\BT\FlameChart.BT.10.175.1.14.MWEB.12.-newsplus-er.194.svg", "&lt;FlChart&gt;")</f>
      </c>
      <c r="AA98" s="0" t="s">
        <v>107</v>
      </c>
      <c r="AB98" s="0" t="s">
        <v>108</v>
      </c>
      <c r="AC98" s="0" t="s">
        <v>142</v>
      </c>
      <c r="AD98" s="0" t="s">
        <v>380</v>
      </c>
      <c r="AE98" s="0" t="s">
        <v>109</v>
      </c>
    </row>
    <row r="99">
      <c r="A99" s="0" t="s">
        <v>28</v>
      </c>
      <c r="B99" s="0" t="s">
        <v>30</v>
      </c>
      <c r="C99" s="0" t="s">
        <v>161</v>
      </c>
      <c r="D99" s="0" t="s">
        <v>379</v>
      </c>
      <c r="E99" s="0" t="s">
        <v>223</v>
      </c>
      <c r="F99" s="0">
        <v>0</v>
      </c>
      <c r="G99" s="0" t="s">
        <v>106</v>
      </c>
      <c r="H99" s="0">
        <v>0</v>
      </c>
      <c r="I99" s="0">
        <v>0</v>
      </c>
      <c r="J99" s="0">
        <v>0</v>
      </c>
      <c r="K99" s="0">
        <v>0</v>
      </c>
      <c r="L99" s="0">
        <v>0</v>
      </c>
      <c r="M99" s="0">
        <v>0</v>
      </c>
      <c r="N99" s="0" t="b">
        <v>0</v>
      </c>
      <c r="O99" s="2">
        <v>44613.583333333336</v>
      </c>
      <c r="P99" s="2">
        <v>44613.625</v>
      </c>
      <c r="Q99" s="2">
        <v>44613.208333333336</v>
      </c>
      <c r="R99" s="2">
        <v>44613.25</v>
      </c>
      <c r="S99" s="0">
        <v>60</v>
      </c>
      <c r="T99" s="0">
        <v>12</v>
      </c>
      <c r="U99" s="0">
        <v>48</v>
      </c>
      <c r="V99" s="0">
        <v>724</v>
      </c>
      <c r="W99" s="1">
        <f>=HYPERLINK("10.175.1.14\MWEB.12\BT\EntityDetails.10.175.1.14.MWEB.12.-newsplus-er.724.xlsx", "&lt;Detail&gt;")</f>
      </c>
      <c r="X99" s="1">
        <f>=HYPERLINK("10.175.1.14\MWEB.12\BT\MetricGraphs.BT.10.175.1.14.MWEB.12.xlsx", "&lt;Metrics&gt;")</f>
      </c>
      <c r="Y99" s="1">
        <f>=HYPERLINK("10.175.1.14\MWEB.12\BT\FlameGraph.BT.10.175.1.14.MWEB.12.-newsplus-er.724.svg", "&lt;FlGraph&gt;")</f>
      </c>
      <c r="Z99" s="1">
        <f>=HYPERLINK("10.175.1.14\MWEB.12\BT\FlameChart.BT.10.175.1.14.MWEB.12.-newsplus-er.724.svg", "&lt;FlChart&gt;")</f>
      </c>
      <c r="AA99" s="0" t="s">
        <v>107</v>
      </c>
      <c r="AB99" s="0" t="s">
        <v>108</v>
      </c>
      <c r="AC99" s="0" t="s">
        <v>162</v>
      </c>
      <c r="AD99" s="0" t="s">
        <v>381</v>
      </c>
      <c r="AE99" s="0" t="s">
        <v>109</v>
      </c>
    </row>
    <row r="100">
      <c r="A100" s="0" t="s">
        <v>28</v>
      </c>
      <c r="B100" s="0" t="s">
        <v>30</v>
      </c>
      <c r="C100" s="0" t="s">
        <v>139</v>
      </c>
      <c r="D100" s="0" t="s">
        <v>382</v>
      </c>
      <c r="E100" s="0" t="s">
        <v>223</v>
      </c>
      <c r="F100" s="0">
        <v>0</v>
      </c>
      <c r="G100" s="0" t="s">
        <v>106</v>
      </c>
      <c r="H100" s="0">
        <v>0</v>
      </c>
      <c r="I100" s="0">
        <v>0</v>
      </c>
      <c r="J100" s="0">
        <v>0</v>
      </c>
      <c r="K100" s="0">
        <v>0</v>
      </c>
      <c r="L100" s="0">
        <v>0</v>
      </c>
      <c r="M100" s="0">
        <v>0</v>
      </c>
      <c r="N100" s="0" t="b">
        <v>0</v>
      </c>
      <c r="O100" s="2">
        <v>44613.583333333336</v>
      </c>
      <c r="P100" s="2">
        <v>44613.625</v>
      </c>
      <c r="Q100" s="2">
        <v>44613.208333333336</v>
      </c>
      <c r="R100" s="2">
        <v>44613.25</v>
      </c>
      <c r="S100" s="0">
        <v>60</v>
      </c>
      <c r="T100" s="0">
        <v>12</v>
      </c>
      <c r="U100" s="0">
        <v>35</v>
      </c>
      <c r="V100" s="0">
        <v>272</v>
      </c>
      <c r="W100" s="1">
        <f>=HYPERLINK("10.175.1.14\MWEB.12\BT\EntityDetails.10.175.1.14.MWEB.12.-newsplus-er.272.xlsx", "&lt;Detail&gt;")</f>
      </c>
      <c r="X100" s="1">
        <f>=HYPERLINK("10.175.1.14\MWEB.12\BT\MetricGraphs.BT.10.175.1.14.MWEB.12.xlsx", "&lt;Metrics&gt;")</f>
      </c>
      <c r="Y100" s="1">
        <f>=HYPERLINK("10.175.1.14\MWEB.12\BT\FlameGraph.BT.10.175.1.14.MWEB.12.-newsplus-er.272.svg", "&lt;FlGraph&gt;")</f>
      </c>
      <c r="Z100" s="1">
        <f>=HYPERLINK("10.175.1.14\MWEB.12\BT\FlameChart.BT.10.175.1.14.MWEB.12.-newsplus-er.272.svg", "&lt;FlChart&gt;")</f>
      </c>
      <c r="AA100" s="0" t="s">
        <v>107</v>
      </c>
      <c r="AB100" s="0" t="s">
        <v>108</v>
      </c>
      <c r="AC100" s="0" t="s">
        <v>142</v>
      </c>
      <c r="AD100" s="0" t="s">
        <v>383</v>
      </c>
      <c r="AE100" s="0" t="s">
        <v>109</v>
      </c>
    </row>
    <row r="101">
      <c r="A101" s="0" t="s">
        <v>28</v>
      </c>
      <c r="B101" s="0" t="s">
        <v>30</v>
      </c>
      <c r="C101" s="0" t="s">
        <v>161</v>
      </c>
      <c r="D101" s="0" t="s">
        <v>382</v>
      </c>
      <c r="E101" s="0" t="s">
        <v>223</v>
      </c>
      <c r="F101" s="0">
        <v>0</v>
      </c>
      <c r="G101" s="0" t="s">
        <v>106</v>
      </c>
      <c r="H101" s="0">
        <v>0</v>
      </c>
      <c r="I101" s="0">
        <v>0</v>
      </c>
      <c r="J101" s="0">
        <v>0</v>
      </c>
      <c r="K101" s="0">
        <v>0</v>
      </c>
      <c r="L101" s="0">
        <v>0</v>
      </c>
      <c r="M101" s="0">
        <v>0</v>
      </c>
      <c r="N101" s="0" t="b">
        <v>0</v>
      </c>
      <c r="O101" s="2">
        <v>44613.583333333336</v>
      </c>
      <c r="P101" s="2">
        <v>44613.625</v>
      </c>
      <c r="Q101" s="2">
        <v>44613.208333333336</v>
      </c>
      <c r="R101" s="2">
        <v>44613.25</v>
      </c>
      <c r="S101" s="0">
        <v>60</v>
      </c>
      <c r="T101" s="0">
        <v>12</v>
      </c>
      <c r="U101" s="0">
        <v>48</v>
      </c>
      <c r="V101" s="0">
        <v>925</v>
      </c>
      <c r="W101" s="1">
        <f>=HYPERLINK("10.175.1.14\MWEB.12\BT\EntityDetails.10.175.1.14.MWEB.12.-newsplus-er.925.xlsx", "&lt;Detail&gt;")</f>
      </c>
      <c r="X101" s="1">
        <f>=HYPERLINK("10.175.1.14\MWEB.12\BT\MetricGraphs.BT.10.175.1.14.MWEB.12.xlsx", "&lt;Metrics&gt;")</f>
      </c>
      <c r="Y101" s="1">
        <f>=HYPERLINK("10.175.1.14\MWEB.12\BT\FlameGraph.BT.10.175.1.14.MWEB.12.-newsplus-er.925.svg", "&lt;FlGraph&gt;")</f>
      </c>
      <c r="Z101" s="1">
        <f>=HYPERLINK("10.175.1.14\MWEB.12\BT\FlameChart.BT.10.175.1.14.MWEB.12.-newsplus-er.925.svg", "&lt;FlChart&gt;")</f>
      </c>
      <c r="AA101" s="0" t="s">
        <v>107</v>
      </c>
      <c r="AB101" s="0" t="s">
        <v>108</v>
      </c>
      <c r="AC101" s="0" t="s">
        <v>162</v>
      </c>
      <c r="AD101" s="0" t="s">
        <v>384</v>
      </c>
      <c r="AE101" s="0" t="s">
        <v>109</v>
      </c>
    </row>
    <row r="102">
      <c r="A102" s="0" t="s">
        <v>28</v>
      </c>
      <c r="B102" s="0" t="s">
        <v>30</v>
      </c>
      <c r="C102" s="0" t="s">
        <v>139</v>
      </c>
      <c r="D102" s="0" t="s">
        <v>385</v>
      </c>
      <c r="E102" s="0" t="s">
        <v>223</v>
      </c>
      <c r="F102" s="0">
        <v>0</v>
      </c>
      <c r="G102" s="0" t="s">
        <v>106</v>
      </c>
      <c r="H102" s="0">
        <v>0</v>
      </c>
      <c r="I102" s="0">
        <v>0</v>
      </c>
      <c r="J102" s="0">
        <v>0</v>
      </c>
      <c r="K102" s="0">
        <v>0</v>
      </c>
      <c r="L102" s="0">
        <v>0</v>
      </c>
      <c r="M102" s="0">
        <v>0</v>
      </c>
      <c r="N102" s="0" t="b">
        <v>0</v>
      </c>
      <c r="O102" s="2">
        <v>44613.583333333336</v>
      </c>
      <c r="P102" s="2">
        <v>44613.625</v>
      </c>
      <c r="Q102" s="2">
        <v>44613.208333333336</v>
      </c>
      <c r="R102" s="2">
        <v>44613.25</v>
      </c>
      <c r="S102" s="0">
        <v>60</v>
      </c>
      <c r="T102" s="0">
        <v>12</v>
      </c>
      <c r="U102" s="0">
        <v>35</v>
      </c>
      <c r="V102" s="0">
        <v>245</v>
      </c>
      <c r="W102" s="1">
        <f>=HYPERLINK("10.175.1.14\MWEB.12\BT\EntityDetails.10.175.1.14.MWEB.12.-newsplus-he.245.xlsx", "&lt;Detail&gt;")</f>
      </c>
      <c r="X102" s="1">
        <f>=HYPERLINK("10.175.1.14\MWEB.12\BT\MetricGraphs.BT.10.175.1.14.MWEB.12.xlsx", "&lt;Metrics&gt;")</f>
      </c>
      <c r="Y102" s="1">
        <f>=HYPERLINK("10.175.1.14\MWEB.12\BT\FlameGraph.BT.10.175.1.14.MWEB.12.-newsplus-he.245.svg", "&lt;FlGraph&gt;")</f>
      </c>
      <c r="Z102" s="1">
        <f>=HYPERLINK("10.175.1.14\MWEB.12\BT\FlameChart.BT.10.175.1.14.MWEB.12.-newsplus-he.245.svg", "&lt;FlChart&gt;")</f>
      </c>
      <c r="AA102" s="0" t="s">
        <v>107</v>
      </c>
      <c r="AB102" s="0" t="s">
        <v>108</v>
      </c>
      <c r="AC102" s="0" t="s">
        <v>142</v>
      </c>
      <c r="AD102" s="0" t="s">
        <v>386</v>
      </c>
      <c r="AE102" s="0" t="s">
        <v>109</v>
      </c>
    </row>
    <row r="103">
      <c r="A103" s="0" t="s">
        <v>28</v>
      </c>
      <c r="B103" s="0" t="s">
        <v>30</v>
      </c>
      <c r="C103" s="0" t="s">
        <v>161</v>
      </c>
      <c r="D103" s="0" t="s">
        <v>385</v>
      </c>
      <c r="E103" s="0" t="s">
        <v>223</v>
      </c>
      <c r="F103" s="0">
        <v>0</v>
      </c>
      <c r="G103" s="0" t="s">
        <v>106</v>
      </c>
      <c r="H103" s="0">
        <v>0</v>
      </c>
      <c r="I103" s="0">
        <v>0</v>
      </c>
      <c r="J103" s="0">
        <v>0</v>
      </c>
      <c r="K103" s="0">
        <v>0</v>
      </c>
      <c r="L103" s="0">
        <v>0</v>
      </c>
      <c r="M103" s="0">
        <v>0</v>
      </c>
      <c r="N103" s="0" t="b">
        <v>0</v>
      </c>
      <c r="O103" s="2">
        <v>44613.583333333336</v>
      </c>
      <c r="P103" s="2">
        <v>44613.625</v>
      </c>
      <c r="Q103" s="2">
        <v>44613.208333333336</v>
      </c>
      <c r="R103" s="2">
        <v>44613.25</v>
      </c>
      <c r="S103" s="0">
        <v>60</v>
      </c>
      <c r="T103" s="0">
        <v>12</v>
      </c>
      <c r="U103" s="0">
        <v>48</v>
      </c>
      <c r="V103" s="0">
        <v>687</v>
      </c>
      <c r="W103" s="1">
        <f>=HYPERLINK("10.175.1.14\MWEB.12\BT\EntityDetails.10.175.1.14.MWEB.12.-newsplus-he.687.xlsx", "&lt;Detail&gt;")</f>
      </c>
      <c r="X103" s="1">
        <f>=HYPERLINK("10.175.1.14\MWEB.12\BT\MetricGraphs.BT.10.175.1.14.MWEB.12.xlsx", "&lt;Metrics&gt;")</f>
      </c>
      <c r="Y103" s="1">
        <f>=HYPERLINK("10.175.1.14\MWEB.12\BT\FlameGraph.BT.10.175.1.14.MWEB.12.-newsplus-he.687.svg", "&lt;FlGraph&gt;")</f>
      </c>
      <c r="Z103" s="1">
        <f>=HYPERLINK("10.175.1.14\MWEB.12\BT\FlameChart.BT.10.175.1.14.MWEB.12.-newsplus-he.687.svg", "&lt;FlChart&gt;")</f>
      </c>
      <c r="AA103" s="0" t="s">
        <v>107</v>
      </c>
      <c r="AB103" s="0" t="s">
        <v>108</v>
      </c>
      <c r="AC103" s="0" t="s">
        <v>162</v>
      </c>
      <c r="AD103" s="0" t="s">
        <v>387</v>
      </c>
      <c r="AE103" s="0" t="s">
        <v>109</v>
      </c>
    </row>
    <row r="104">
      <c r="A104" s="0" t="s">
        <v>28</v>
      </c>
      <c r="B104" s="0" t="s">
        <v>30</v>
      </c>
      <c r="C104" s="0" t="s">
        <v>139</v>
      </c>
      <c r="D104" s="0" t="s">
        <v>388</v>
      </c>
      <c r="E104" s="0" t="s">
        <v>223</v>
      </c>
      <c r="F104" s="0">
        <v>0</v>
      </c>
      <c r="G104" s="0" t="s">
        <v>106</v>
      </c>
      <c r="H104" s="0">
        <v>0</v>
      </c>
      <c r="I104" s="0">
        <v>0</v>
      </c>
      <c r="J104" s="0">
        <v>0</v>
      </c>
      <c r="K104" s="0">
        <v>0</v>
      </c>
      <c r="L104" s="0">
        <v>0</v>
      </c>
      <c r="M104" s="0">
        <v>0</v>
      </c>
      <c r="N104" s="0" t="b">
        <v>0</v>
      </c>
      <c r="O104" s="2">
        <v>44613.583333333336</v>
      </c>
      <c r="P104" s="2">
        <v>44613.625</v>
      </c>
      <c r="Q104" s="2">
        <v>44613.208333333336</v>
      </c>
      <c r="R104" s="2">
        <v>44613.25</v>
      </c>
      <c r="S104" s="0">
        <v>60</v>
      </c>
      <c r="T104" s="0">
        <v>12</v>
      </c>
      <c r="U104" s="0">
        <v>35</v>
      </c>
      <c r="V104" s="0">
        <v>408</v>
      </c>
      <c r="W104" s="1">
        <f>=HYPERLINK("10.175.1.14\MWEB.12\BT\EntityDetails.10.175.1.14.MWEB.12.-newsplus-im.408.xlsx", "&lt;Detail&gt;")</f>
      </c>
      <c r="X104" s="1">
        <f>=HYPERLINK("10.175.1.14\MWEB.12\BT\MetricGraphs.BT.10.175.1.14.MWEB.12.xlsx", "&lt;Metrics&gt;")</f>
      </c>
      <c r="Y104" s="1">
        <f>=HYPERLINK("10.175.1.14\MWEB.12\BT\FlameGraph.BT.10.175.1.14.MWEB.12.-newsplus-im.408.svg", "&lt;FlGraph&gt;")</f>
      </c>
      <c r="Z104" s="1">
        <f>=HYPERLINK("10.175.1.14\MWEB.12\BT\FlameChart.BT.10.175.1.14.MWEB.12.-newsplus-im.408.svg", "&lt;FlChart&gt;")</f>
      </c>
      <c r="AA104" s="0" t="s">
        <v>107</v>
      </c>
      <c r="AB104" s="0" t="s">
        <v>108</v>
      </c>
      <c r="AC104" s="0" t="s">
        <v>142</v>
      </c>
      <c r="AD104" s="0" t="s">
        <v>389</v>
      </c>
      <c r="AE104" s="0" t="s">
        <v>109</v>
      </c>
    </row>
    <row r="105">
      <c r="A105" s="0" t="s">
        <v>28</v>
      </c>
      <c r="B105" s="0" t="s">
        <v>30</v>
      </c>
      <c r="C105" s="0" t="s">
        <v>161</v>
      </c>
      <c r="D105" s="0" t="s">
        <v>388</v>
      </c>
      <c r="E105" s="0" t="s">
        <v>223</v>
      </c>
      <c r="F105" s="0">
        <v>0</v>
      </c>
      <c r="G105" s="0" t="s">
        <v>106</v>
      </c>
      <c r="H105" s="0">
        <v>0</v>
      </c>
      <c r="I105" s="0">
        <v>0</v>
      </c>
      <c r="J105" s="0">
        <v>0</v>
      </c>
      <c r="K105" s="0">
        <v>0</v>
      </c>
      <c r="L105" s="0">
        <v>0</v>
      </c>
      <c r="M105" s="0">
        <v>0</v>
      </c>
      <c r="N105" s="0" t="b">
        <v>0</v>
      </c>
      <c r="O105" s="2">
        <v>44613.583333333336</v>
      </c>
      <c r="P105" s="2">
        <v>44613.625</v>
      </c>
      <c r="Q105" s="2">
        <v>44613.208333333336</v>
      </c>
      <c r="R105" s="2">
        <v>44613.25</v>
      </c>
      <c r="S105" s="0">
        <v>60</v>
      </c>
      <c r="T105" s="0">
        <v>12</v>
      </c>
      <c r="U105" s="0">
        <v>48</v>
      </c>
      <c r="V105" s="0">
        <v>898</v>
      </c>
      <c r="W105" s="1">
        <f>=HYPERLINK("10.175.1.14\MWEB.12\BT\EntityDetails.10.175.1.14.MWEB.12.-newsplus-im.898.xlsx", "&lt;Detail&gt;")</f>
      </c>
      <c r="X105" s="1">
        <f>=HYPERLINK("10.175.1.14\MWEB.12\BT\MetricGraphs.BT.10.175.1.14.MWEB.12.xlsx", "&lt;Metrics&gt;")</f>
      </c>
      <c r="Y105" s="1">
        <f>=HYPERLINK("10.175.1.14\MWEB.12\BT\FlameGraph.BT.10.175.1.14.MWEB.12.-newsplus-im.898.svg", "&lt;FlGraph&gt;")</f>
      </c>
      <c r="Z105" s="1">
        <f>=HYPERLINK("10.175.1.14\MWEB.12\BT\FlameChart.BT.10.175.1.14.MWEB.12.-newsplus-im.898.svg", "&lt;FlChart&gt;")</f>
      </c>
      <c r="AA105" s="0" t="s">
        <v>107</v>
      </c>
      <c r="AB105" s="0" t="s">
        <v>108</v>
      </c>
      <c r="AC105" s="0" t="s">
        <v>162</v>
      </c>
      <c r="AD105" s="0" t="s">
        <v>390</v>
      </c>
      <c r="AE105" s="0" t="s">
        <v>109</v>
      </c>
    </row>
    <row r="106">
      <c r="A106" s="0" t="s">
        <v>28</v>
      </c>
      <c r="B106" s="0" t="s">
        <v>30</v>
      </c>
      <c r="C106" s="0" t="s">
        <v>139</v>
      </c>
      <c r="D106" s="0" t="s">
        <v>391</v>
      </c>
      <c r="E106" s="0" t="s">
        <v>223</v>
      </c>
      <c r="F106" s="0">
        <v>0</v>
      </c>
      <c r="G106" s="0" t="s">
        <v>106</v>
      </c>
      <c r="H106" s="0">
        <v>0</v>
      </c>
      <c r="I106" s="0">
        <v>0</v>
      </c>
      <c r="J106" s="0">
        <v>0</v>
      </c>
      <c r="K106" s="0">
        <v>0</v>
      </c>
      <c r="L106" s="0">
        <v>0</v>
      </c>
      <c r="M106" s="0">
        <v>0</v>
      </c>
      <c r="N106" s="0" t="b">
        <v>0</v>
      </c>
      <c r="O106" s="2">
        <v>44613.583333333336</v>
      </c>
      <c r="P106" s="2">
        <v>44613.625</v>
      </c>
      <c r="Q106" s="2">
        <v>44613.208333333336</v>
      </c>
      <c r="R106" s="2">
        <v>44613.25</v>
      </c>
      <c r="S106" s="0">
        <v>60</v>
      </c>
      <c r="T106" s="0">
        <v>12</v>
      </c>
      <c r="U106" s="0">
        <v>35</v>
      </c>
      <c r="V106" s="0">
        <v>112</v>
      </c>
      <c r="W106" s="1">
        <f>=HYPERLINK("10.175.1.14\MWEB.12\BT\EntityDetails.10.175.1.14.MWEB.12.-newsplus-in.112.xlsx", "&lt;Detail&gt;")</f>
      </c>
      <c r="X106" s="1">
        <f>=HYPERLINK("10.175.1.14\MWEB.12\BT\MetricGraphs.BT.10.175.1.14.MWEB.12.xlsx", "&lt;Metrics&gt;")</f>
      </c>
      <c r="Y106" s="1">
        <f>=HYPERLINK("10.175.1.14\MWEB.12\BT\FlameGraph.BT.10.175.1.14.MWEB.12.-newsplus-in.112.svg", "&lt;FlGraph&gt;")</f>
      </c>
      <c r="Z106" s="1">
        <f>=HYPERLINK("10.175.1.14\MWEB.12\BT\FlameChart.BT.10.175.1.14.MWEB.12.-newsplus-in.112.svg", "&lt;FlChart&gt;")</f>
      </c>
      <c r="AA106" s="0" t="s">
        <v>107</v>
      </c>
      <c r="AB106" s="0" t="s">
        <v>108</v>
      </c>
      <c r="AC106" s="0" t="s">
        <v>142</v>
      </c>
      <c r="AD106" s="0" t="s">
        <v>392</v>
      </c>
      <c r="AE106" s="0" t="s">
        <v>109</v>
      </c>
    </row>
    <row r="107">
      <c r="A107" s="0" t="s">
        <v>28</v>
      </c>
      <c r="B107" s="0" t="s">
        <v>30</v>
      </c>
      <c r="C107" s="0" t="s">
        <v>161</v>
      </c>
      <c r="D107" s="0" t="s">
        <v>391</v>
      </c>
      <c r="E107" s="0" t="s">
        <v>223</v>
      </c>
      <c r="F107" s="0">
        <v>0</v>
      </c>
      <c r="G107" s="0" t="s">
        <v>106</v>
      </c>
      <c r="H107" s="0">
        <v>0</v>
      </c>
      <c r="I107" s="0">
        <v>0</v>
      </c>
      <c r="J107" s="0">
        <v>0</v>
      </c>
      <c r="K107" s="0">
        <v>0</v>
      </c>
      <c r="L107" s="0">
        <v>0</v>
      </c>
      <c r="M107" s="0">
        <v>0</v>
      </c>
      <c r="N107" s="0" t="b">
        <v>0</v>
      </c>
      <c r="O107" s="2">
        <v>44613.583333333336</v>
      </c>
      <c r="P107" s="2">
        <v>44613.625</v>
      </c>
      <c r="Q107" s="2">
        <v>44613.208333333336</v>
      </c>
      <c r="R107" s="2">
        <v>44613.25</v>
      </c>
      <c r="S107" s="0">
        <v>60</v>
      </c>
      <c r="T107" s="0">
        <v>12</v>
      </c>
      <c r="U107" s="0">
        <v>48</v>
      </c>
      <c r="V107" s="0">
        <v>768</v>
      </c>
      <c r="W107" s="1">
        <f>=HYPERLINK("10.175.1.14\MWEB.12\BT\EntityDetails.10.175.1.14.MWEB.12.-newsplus-in.768.xlsx", "&lt;Detail&gt;")</f>
      </c>
      <c r="X107" s="1">
        <f>=HYPERLINK("10.175.1.14\MWEB.12\BT\MetricGraphs.BT.10.175.1.14.MWEB.12.xlsx", "&lt;Metrics&gt;")</f>
      </c>
      <c r="Y107" s="1">
        <f>=HYPERLINK("10.175.1.14\MWEB.12\BT\FlameGraph.BT.10.175.1.14.MWEB.12.-newsplus-in.768.svg", "&lt;FlGraph&gt;")</f>
      </c>
      <c r="Z107" s="1">
        <f>=HYPERLINK("10.175.1.14\MWEB.12\BT\FlameChart.BT.10.175.1.14.MWEB.12.-newsplus-in.768.svg", "&lt;FlChart&gt;")</f>
      </c>
      <c r="AA107" s="0" t="s">
        <v>107</v>
      </c>
      <c r="AB107" s="0" t="s">
        <v>108</v>
      </c>
      <c r="AC107" s="0" t="s">
        <v>162</v>
      </c>
      <c r="AD107" s="0" t="s">
        <v>393</v>
      </c>
      <c r="AE107" s="0" t="s">
        <v>109</v>
      </c>
    </row>
    <row r="108">
      <c r="A108" s="0" t="s">
        <v>28</v>
      </c>
      <c r="B108" s="0" t="s">
        <v>30</v>
      </c>
      <c r="C108" s="0" t="s">
        <v>139</v>
      </c>
      <c r="D108" s="0" t="s">
        <v>394</v>
      </c>
      <c r="E108" s="0" t="s">
        <v>223</v>
      </c>
      <c r="F108" s="0">
        <v>0</v>
      </c>
      <c r="G108" s="0" t="s">
        <v>106</v>
      </c>
      <c r="H108" s="0">
        <v>0</v>
      </c>
      <c r="I108" s="0">
        <v>0</v>
      </c>
      <c r="J108" s="0">
        <v>0</v>
      </c>
      <c r="K108" s="0">
        <v>0</v>
      </c>
      <c r="L108" s="0">
        <v>0</v>
      </c>
      <c r="M108" s="0">
        <v>0</v>
      </c>
      <c r="N108" s="0" t="b">
        <v>0</v>
      </c>
      <c r="O108" s="2">
        <v>44613.583333333336</v>
      </c>
      <c r="P108" s="2">
        <v>44613.625</v>
      </c>
      <c r="Q108" s="2">
        <v>44613.208333333336</v>
      </c>
      <c r="R108" s="2">
        <v>44613.25</v>
      </c>
      <c r="S108" s="0">
        <v>60</v>
      </c>
      <c r="T108" s="0">
        <v>12</v>
      </c>
      <c r="U108" s="0">
        <v>35</v>
      </c>
      <c r="V108" s="0">
        <v>271</v>
      </c>
      <c r="W108" s="1">
        <f>=HYPERLINK("10.175.1.14\MWEB.12\BT\EntityDetails.10.175.1.14.MWEB.12.-newsplus-jr.271.xlsx", "&lt;Detail&gt;")</f>
      </c>
      <c r="X108" s="1">
        <f>=HYPERLINK("10.175.1.14\MWEB.12\BT\MetricGraphs.BT.10.175.1.14.MWEB.12.xlsx", "&lt;Metrics&gt;")</f>
      </c>
      <c r="Y108" s="1">
        <f>=HYPERLINK("10.175.1.14\MWEB.12\BT\FlameGraph.BT.10.175.1.14.MWEB.12.-newsplus-jr.271.svg", "&lt;FlGraph&gt;")</f>
      </c>
      <c r="Z108" s="1">
        <f>=HYPERLINK("10.175.1.14\MWEB.12\BT\FlameChart.BT.10.175.1.14.MWEB.12.-newsplus-jr.271.svg", "&lt;FlChart&gt;")</f>
      </c>
      <c r="AA108" s="0" t="s">
        <v>107</v>
      </c>
      <c r="AB108" s="0" t="s">
        <v>108</v>
      </c>
      <c r="AC108" s="0" t="s">
        <v>142</v>
      </c>
      <c r="AD108" s="0" t="s">
        <v>395</v>
      </c>
      <c r="AE108" s="0" t="s">
        <v>109</v>
      </c>
    </row>
    <row r="109">
      <c r="A109" s="0" t="s">
        <v>28</v>
      </c>
      <c r="B109" s="0" t="s">
        <v>30</v>
      </c>
      <c r="C109" s="0" t="s">
        <v>139</v>
      </c>
      <c r="D109" s="0" t="s">
        <v>396</v>
      </c>
      <c r="E109" s="0" t="s">
        <v>223</v>
      </c>
      <c r="F109" s="0">
        <v>0</v>
      </c>
      <c r="G109" s="0" t="s">
        <v>106</v>
      </c>
      <c r="H109" s="0">
        <v>0</v>
      </c>
      <c r="I109" s="0">
        <v>0</v>
      </c>
      <c r="J109" s="0">
        <v>0</v>
      </c>
      <c r="K109" s="0">
        <v>0</v>
      </c>
      <c r="L109" s="0">
        <v>0</v>
      </c>
      <c r="M109" s="0">
        <v>0</v>
      </c>
      <c r="N109" s="0" t="b">
        <v>0</v>
      </c>
      <c r="O109" s="2">
        <v>44613.583333333336</v>
      </c>
      <c r="P109" s="2">
        <v>44613.625</v>
      </c>
      <c r="Q109" s="2">
        <v>44613.208333333336</v>
      </c>
      <c r="R109" s="2">
        <v>44613.25</v>
      </c>
      <c r="S109" s="0">
        <v>60</v>
      </c>
      <c r="T109" s="0">
        <v>12</v>
      </c>
      <c r="U109" s="0">
        <v>35</v>
      </c>
      <c r="V109" s="0">
        <v>246</v>
      </c>
      <c r="W109" s="1">
        <f>=HYPERLINK("10.175.1.14\MWEB.12\BT\EntityDetails.10.175.1.14.MWEB.12.-newsplus-jr.246.xlsx", "&lt;Detail&gt;")</f>
      </c>
      <c r="X109" s="1">
        <f>=HYPERLINK("10.175.1.14\MWEB.12\BT\MetricGraphs.BT.10.175.1.14.MWEB.12.xlsx", "&lt;Metrics&gt;")</f>
      </c>
      <c r="Y109" s="1">
        <f>=HYPERLINK("10.175.1.14\MWEB.12\BT\FlameGraph.BT.10.175.1.14.MWEB.12.-newsplus-jr.246.svg", "&lt;FlGraph&gt;")</f>
      </c>
      <c r="Z109" s="1">
        <f>=HYPERLINK("10.175.1.14\MWEB.12\BT\FlameChart.BT.10.175.1.14.MWEB.12.-newsplus-jr.246.svg", "&lt;FlChart&gt;")</f>
      </c>
      <c r="AA109" s="0" t="s">
        <v>107</v>
      </c>
      <c r="AB109" s="0" t="s">
        <v>108</v>
      </c>
      <c r="AC109" s="0" t="s">
        <v>142</v>
      </c>
      <c r="AD109" s="0" t="s">
        <v>397</v>
      </c>
      <c r="AE109" s="0" t="s">
        <v>109</v>
      </c>
    </row>
    <row r="110">
      <c r="A110" s="0" t="s">
        <v>28</v>
      </c>
      <c r="B110" s="0" t="s">
        <v>30</v>
      </c>
      <c r="C110" s="0" t="s">
        <v>139</v>
      </c>
      <c r="D110" s="0" t="s">
        <v>398</v>
      </c>
      <c r="E110" s="0" t="s">
        <v>223</v>
      </c>
      <c r="F110" s="0">
        <v>0</v>
      </c>
      <c r="G110" s="0" t="s">
        <v>106</v>
      </c>
      <c r="H110" s="0">
        <v>0</v>
      </c>
      <c r="I110" s="0">
        <v>0</v>
      </c>
      <c r="J110" s="0">
        <v>0</v>
      </c>
      <c r="K110" s="0">
        <v>0</v>
      </c>
      <c r="L110" s="0">
        <v>0</v>
      </c>
      <c r="M110" s="0">
        <v>0</v>
      </c>
      <c r="N110" s="0" t="b">
        <v>0</v>
      </c>
      <c r="O110" s="2">
        <v>44613.583333333336</v>
      </c>
      <c r="P110" s="2">
        <v>44613.625</v>
      </c>
      <c r="Q110" s="2">
        <v>44613.208333333336</v>
      </c>
      <c r="R110" s="2">
        <v>44613.25</v>
      </c>
      <c r="S110" s="0">
        <v>60</v>
      </c>
      <c r="T110" s="0">
        <v>12</v>
      </c>
      <c r="U110" s="0">
        <v>35</v>
      </c>
      <c r="V110" s="0">
        <v>122</v>
      </c>
      <c r="W110" s="1">
        <f>=HYPERLINK("10.175.1.14\MWEB.12\BT\EntityDetails.10.175.1.14.MWEB.12.-newsplus-le.122.xlsx", "&lt;Detail&gt;")</f>
      </c>
      <c r="X110" s="1">
        <f>=HYPERLINK("10.175.1.14\MWEB.12\BT\MetricGraphs.BT.10.175.1.14.MWEB.12.xlsx", "&lt;Metrics&gt;")</f>
      </c>
      <c r="Y110" s="1">
        <f>=HYPERLINK("10.175.1.14\MWEB.12\BT\FlameGraph.BT.10.175.1.14.MWEB.12.-newsplus-le.122.svg", "&lt;FlGraph&gt;")</f>
      </c>
      <c r="Z110" s="1">
        <f>=HYPERLINK("10.175.1.14\MWEB.12\BT\FlameChart.BT.10.175.1.14.MWEB.12.-newsplus-le.122.svg", "&lt;FlChart&gt;")</f>
      </c>
      <c r="AA110" s="0" t="s">
        <v>107</v>
      </c>
      <c r="AB110" s="0" t="s">
        <v>108</v>
      </c>
      <c r="AC110" s="0" t="s">
        <v>142</v>
      </c>
      <c r="AD110" s="0" t="s">
        <v>399</v>
      </c>
      <c r="AE110" s="0" t="s">
        <v>109</v>
      </c>
    </row>
    <row r="111">
      <c r="A111" s="0" t="s">
        <v>28</v>
      </c>
      <c r="B111" s="0" t="s">
        <v>30</v>
      </c>
      <c r="C111" s="0" t="s">
        <v>161</v>
      </c>
      <c r="D111" s="0" t="s">
        <v>398</v>
      </c>
      <c r="E111" s="0" t="s">
        <v>223</v>
      </c>
      <c r="F111" s="0">
        <v>0</v>
      </c>
      <c r="G111" s="0" t="s">
        <v>106</v>
      </c>
      <c r="H111" s="0">
        <v>0</v>
      </c>
      <c r="I111" s="0">
        <v>0</v>
      </c>
      <c r="J111" s="0">
        <v>0</v>
      </c>
      <c r="K111" s="0">
        <v>0</v>
      </c>
      <c r="L111" s="0">
        <v>0</v>
      </c>
      <c r="M111" s="0">
        <v>0</v>
      </c>
      <c r="N111" s="0" t="b">
        <v>0</v>
      </c>
      <c r="O111" s="2">
        <v>44613.583333333336</v>
      </c>
      <c r="P111" s="2">
        <v>44613.625</v>
      </c>
      <c r="Q111" s="2">
        <v>44613.208333333336</v>
      </c>
      <c r="R111" s="2">
        <v>44613.25</v>
      </c>
      <c r="S111" s="0">
        <v>60</v>
      </c>
      <c r="T111" s="0">
        <v>12</v>
      </c>
      <c r="U111" s="0">
        <v>48</v>
      </c>
      <c r="V111" s="0">
        <v>903</v>
      </c>
      <c r="W111" s="1">
        <f>=HYPERLINK("10.175.1.14\MWEB.12\BT\EntityDetails.10.175.1.14.MWEB.12.-newsplus-le.903.xlsx", "&lt;Detail&gt;")</f>
      </c>
      <c r="X111" s="1">
        <f>=HYPERLINK("10.175.1.14\MWEB.12\BT\MetricGraphs.BT.10.175.1.14.MWEB.12.xlsx", "&lt;Metrics&gt;")</f>
      </c>
      <c r="Y111" s="1">
        <f>=HYPERLINK("10.175.1.14\MWEB.12\BT\FlameGraph.BT.10.175.1.14.MWEB.12.-newsplus-le.903.svg", "&lt;FlGraph&gt;")</f>
      </c>
      <c r="Z111" s="1">
        <f>=HYPERLINK("10.175.1.14\MWEB.12\BT\FlameChart.BT.10.175.1.14.MWEB.12.-newsplus-le.903.svg", "&lt;FlChart&gt;")</f>
      </c>
      <c r="AA111" s="0" t="s">
        <v>107</v>
      </c>
      <c r="AB111" s="0" t="s">
        <v>108</v>
      </c>
      <c r="AC111" s="0" t="s">
        <v>162</v>
      </c>
      <c r="AD111" s="0" t="s">
        <v>400</v>
      </c>
      <c r="AE111" s="0" t="s">
        <v>109</v>
      </c>
    </row>
    <row r="112">
      <c r="A112" s="0" t="s">
        <v>28</v>
      </c>
      <c r="B112" s="0" t="s">
        <v>30</v>
      </c>
      <c r="C112" s="0" t="s">
        <v>139</v>
      </c>
      <c r="D112" s="0" t="s">
        <v>401</v>
      </c>
      <c r="E112" s="0" t="s">
        <v>223</v>
      </c>
      <c r="F112" s="0">
        <v>0</v>
      </c>
      <c r="G112" s="0" t="s">
        <v>106</v>
      </c>
      <c r="H112" s="0">
        <v>0</v>
      </c>
      <c r="I112" s="0">
        <v>0</v>
      </c>
      <c r="J112" s="0">
        <v>0</v>
      </c>
      <c r="K112" s="0">
        <v>0</v>
      </c>
      <c r="L112" s="0">
        <v>0</v>
      </c>
      <c r="M112" s="0">
        <v>0</v>
      </c>
      <c r="N112" s="0" t="b">
        <v>0</v>
      </c>
      <c r="O112" s="2">
        <v>44613.583333333336</v>
      </c>
      <c r="P112" s="2">
        <v>44613.625</v>
      </c>
      <c r="Q112" s="2">
        <v>44613.208333333336</v>
      </c>
      <c r="R112" s="2">
        <v>44613.25</v>
      </c>
      <c r="S112" s="0">
        <v>60</v>
      </c>
      <c r="T112" s="0">
        <v>12</v>
      </c>
      <c r="U112" s="0">
        <v>35</v>
      </c>
      <c r="V112" s="0">
        <v>358</v>
      </c>
      <c r="W112" s="1">
        <f>=HYPERLINK("10.175.1.14\MWEB.12\BT\EntityDetails.10.175.1.14.MWEB.12.-newsplus-le.358.xlsx", "&lt;Detail&gt;")</f>
      </c>
      <c r="X112" s="1">
        <f>=HYPERLINK("10.175.1.14\MWEB.12\BT\MetricGraphs.BT.10.175.1.14.MWEB.12.xlsx", "&lt;Metrics&gt;")</f>
      </c>
      <c r="Y112" s="1">
        <f>=HYPERLINK("10.175.1.14\MWEB.12\BT\FlameGraph.BT.10.175.1.14.MWEB.12.-newsplus-le.358.svg", "&lt;FlGraph&gt;")</f>
      </c>
      <c r="Z112" s="1">
        <f>=HYPERLINK("10.175.1.14\MWEB.12\BT\FlameChart.BT.10.175.1.14.MWEB.12.-newsplus-le.358.svg", "&lt;FlChart&gt;")</f>
      </c>
      <c r="AA112" s="0" t="s">
        <v>107</v>
      </c>
      <c r="AB112" s="0" t="s">
        <v>108</v>
      </c>
      <c r="AC112" s="0" t="s">
        <v>142</v>
      </c>
      <c r="AD112" s="0" t="s">
        <v>402</v>
      </c>
      <c r="AE112" s="0" t="s">
        <v>109</v>
      </c>
    </row>
    <row r="113">
      <c r="A113" s="0" t="s">
        <v>28</v>
      </c>
      <c r="B113" s="0" t="s">
        <v>30</v>
      </c>
      <c r="C113" s="0" t="s">
        <v>161</v>
      </c>
      <c r="D113" s="0" t="s">
        <v>401</v>
      </c>
      <c r="E113" s="0" t="s">
        <v>223</v>
      </c>
      <c r="F113" s="0">
        <v>0</v>
      </c>
      <c r="G113" s="0" t="s">
        <v>106</v>
      </c>
      <c r="H113" s="0">
        <v>0</v>
      </c>
      <c r="I113" s="0">
        <v>0</v>
      </c>
      <c r="J113" s="0">
        <v>0</v>
      </c>
      <c r="K113" s="0">
        <v>0</v>
      </c>
      <c r="L113" s="0">
        <v>0</v>
      </c>
      <c r="M113" s="0">
        <v>0</v>
      </c>
      <c r="N113" s="0" t="b">
        <v>0</v>
      </c>
      <c r="O113" s="2">
        <v>44613.583333333336</v>
      </c>
      <c r="P113" s="2">
        <v>44613.625</v>
      </c>
      <c r="Q113" s="2">
        <v>44613.208333333336</v>
      </c>
      <c r="R113" s="2">
        <v>44613.25</v>
      </c>
      <c r="S113" s="0">
        <v>60</v>
      </c>
      <c r="T113" s="0">
        <v>12</v>
      </c>
      <c r="U113" s="0">
        <v>48</v>
      </c>
      <c r="V113" s="0">
        <v>894</v>
      </c>
      <c r="W113" s="1">
        <f>=HYPERLINK("10.175.1.14\MWEB.12\BT\EntityDetails.10.175.1.14.MWEB.12.-newsplus-le.894.xlsx", "&lt;Detail&gt;")</f>
      </c>
      <c r="X113" s="1">
        <f>=HYPERLINK("10.175.1.14\MWEB.12\BT\MetricGraphs.BT.10.175.1.14.MWEB.12.xlsx", "&lt;Metrics&gt;")</f>
      </c>
      <c r="Y113" s="1">
        <f>=HYPERLINK("10.175.1.14\MWEB.12\BT\FlameGraph.BT.10.175.1.14.MWEB.12.-newsplus-le.894.svg", "&lt;FlGraph&gt;")</f>
      </c>
      <c r="Z113" s="1">
        <f>=HYPERLINK("10.175.1.14\MWEB.12\BT\FlameChart.BT.10.175.1.14.MWEB.12.-newsplus-le.894.svg", "&lt;FlChart&gt;")</f>
      </c>
      <c r="AA113" s="0" t="s">
        <v>107</v>
      </c>
      <c r="AB113" s="0" t="s">
        <v>108</v>
      </c>
      <c r="AC113" s="0" t="s">
        <v>162</v>
      </c>
      <c r="AD113" s="0" t="s">
        <v>403</v>
      </c>
      <c r="AE113" s="0" t="s">
        <v>109</v>
      </c>
    </row>
    <row r="114">
      <c r="A114" s="0" t="s">
        <v>28</v>
      </c>
      <c r="B114" s="0" t="s">
        <v>30</v>
      </c>
      <c r="C114" s="0" t="s">
        <v>139</v>
      </c>
      <c r="D114" s="0" t="s">
        <v>404</v>
      </c>
      <c r="E114" s="0" t="s">
        <v>223</v>
      </c>
      <c r="F114" s="0">
        <v>0</v>
      </c>
      <c r="G114" s="0" t="s">
        <v>106</v>
      </c>
      <c r="H114" s="0">
        <v>0</v>
      </c>
      <c r="I114" s="0">
        <v>0</v>
      </c>
      <c r="J114" s="0">
        <v>0</v>
      </c>
      <c r="K114" s="0">
        <v>0</v>
      </c>
      <c r="L114" s="0">
        <v>0</v>
      </c>
      <c r="M114" s="0">
        <v>0</v>
      </c>
      <c r="N114" s="0" t="b">
        <v>0</v>
      </c>
      <c r="O114" s="2">
        <v>44613.583333333336</v>
      </c>
      <c r="P114" s="2">
        <v>44613.625</v>
      </c>
      <c r="Q114" s="2">
        <v>44613.208333333336</v>
      </c>
      <c r="R114" s="2">
        <v>44613.25</v>
      </c>
      <c r="S114" s="0">
        <v>60</v>
      </c>
      <c r="T114" s="0">
        <v>12</v>
      </c>
      <c r="U114" s="0">
        <v>35</v>
      </c>
      <c r="V114" s="0">
        <v>192</v>
      </c>
      <c r="W114" s="1">
        <f>=HYPERLINK("10.175.1.14\MWEB.12\BT\EntityDetails.10.175.1.14.MWEB.12.-newsplus-li.192.xlsx", "&lt;Detail&gt;")</f>
      </c>
      <c r="X114" s="1">
        <f>=HYPERLINK("10.175.1.14\MWEB.12\BT\MetricGraphs.BT.10.175.1.14.MWEB.12.xlsx", "&lt;Metrics&gt;")</f>
      </c>
      <c r="Y114" s="1">
        <f>=HYPERLINK("10.175.1.14\MWEB.12\BT\FlameGraph.BT.10.175.1.14.MWEB.12.-newsplus-li.192.svg", "&lt;FlGraph&gt;")</f>
      </c>
      <c r="Z114" s="1">
        <f>=HYPERLINK("10.175.1.14\MWEB.12\BT\FlameChart.BT.10.175.1.14.MWEB.12.-newsplus-li.192.svg", "&lt;FlChart&gt;")</f>
      </c>
      <c r="AA114" s="0" t="s">
        <v>107</v>
      </c>
      <c r="AB114" s="0" t="s">
        <v>108</v>
      </c>
      <c r="AC114" s="0" t="s">
        <v>142</v>
      </c>
      <c r="AD114" s="0" t="s">
        <v>405</v>
      </c>
      <c r="AE114" s="0" t="s">
        <v>109</v>
      </c>
    </row>
    <row r="115">
      <c r="A115" s="0" t="s">
        <v>28</v>
      </c>
      <c r="B115" s="0" t="s">
        <v>30</v>
      </c>
      <c r="C115" s="0" t="s">
        <v>161</v>
      </c>
      <c r="D115" s="0" t="s">
        <v>404</v>
      </c>
      <c r="E115" s="0" t="s">
        <v>223</v>
      </c>
      <c r="F115" s="0">
        <v>0</v>
      </c>
      <c r="G115" s="0" t="s">
        <v>106</v>
      </c>
      <c r="H115" s="0">
        <v>0</v>
      </c>
      <c r="I115" s="0">
        <v>0</v>
      </c>
      <c r="J115" s="0">
        <v>0</v>
      </c>
      <c r="K115" s="0">
        <v>0</v>
      </c>
      <c r="L115" s="0">
        <v>0</v>
      </c>
      <c r="M115" s="0">
        <v>0</v>
      </c>
      <c r="N115" s="0" t="b">
        <v>0</v>
      </c>
      <c r="O115" s="2">
        <v>44613.583333333336</v>
      </c>
      <c r="P115" s="2">
        <v>44613.625</v>
      </c>
      <c r="Q115" s="2">
        <v>44613.208333333336</v>
      </c>
      <c r="R115" s="2">
        <v>44613.25</v>
      </c>
      <c r="S115" s="0">
        <v>60</v>
      </c>
      <c r="T115" s="0">
        <v>12</v>
      </c>
      <c r="U115" s="0">
        <v>48</v>
      </c>
      <c r="V115" s="0">
        <v>689</v>
      </c>
      <c r="W115" s="1">
        <f>=HYPERLINK("10.175.1.14\MWEB.12\BT\EntityDetails.10.175.1.14.MWEB.12.-newsplus-li.689.xlsx", "&lt;Detail&gt;")</f>
      </c>
      <c r="X115" s="1">
        <f>=HYPERLINK("10.175.1.14\MWEB.12\BT\MetricGraphs.BT.10.175.1.14.MWEB.12.xlsx", "&lt;Metrics&gt;")</f>
      </c>
      <c r="Y115" s="1">
        <f>=HYPERLINK("10.175.1.14\MWEB.12\BT\FlameGraph.BT.10.175.1.14.MWEB.12.-newsplus-li.689.svg", "&lt;FlGraph&gt;")</f>
      </c>
      <c r="Z115" s="1">
        <f>=HYPERLINK("10.175.1.14\MWEB.12\BT\FlameChart.BT.10.175.1.14.MWEB.12.-newsplus-li.689.svg", "&lt;FlChart&gt;")</f>
      </c>
      <c r="AA115" s="0" t="s">
        <v>107</v>
      </c>
      <c r="AB115" s="0" t="s">
        <v>108</v>
      </c>
      <c r="AC115" s="0" t="s">
        <v>162</v>
      </c>
      <c r="AD115" s="0" t="s">
        <v>406</v>
      </c>
      <c r="AE115" s="0" t="s">
        <v>109</v>
      </c>
    </row>
    <row r="116">
      <c r="A116" s="0" t="s">
        <v>28</v>
      </c>
      <c r="B116" s="0" t="s">
        <v>30</v>
      </c>
      <c r="C116" s="0" t="s">
        <v>139</v>
      </c>
      <c r="D116" s="0" t="s">
        <v>407</v>
      </c>
      <c r="E116" s="0" t="s">
        <v>223</v>
      </c>
      <c r="F116" s="0">
        <v>0</v>
      </c>
      <c r="G116" s="0" t="s">
        <v>106</v>
      </c>
      <c r="H116" s="0">
        <v>0</v>
      </c>
      <c r="I116" s="0">
        <v>0</v>
      </c>
      <c r="J116" s="0">
        <v>0</v>
      </c>
      <c r="K116" s="0">
        <v>0</v>
      </c>
      <c r="L116" s="0">
        <v>0</v>
      </c>
      <c r="M116" s="0">
        <v>0</v>
      </c>
      <c r="N116" s="0" t="b">
        <v>0</v>
      </c>
      <c r="O116" s="2">
        <v>44613.583333333336</v>
      </c>
      <c r="P116" s="2">
        <v>44613.625</v>
      </c>
      <c r="Q116" s="2">
        <v>44613.208333333336</v>
      </c>
      <c r="R116" s="2">
        <v>44613.25</v>
      </c>
      <c r="S116" s="0">
        <v>60</v>
      </c>
      <c r="T116" s="0">
        <v>12</v>
      </c>
      <c r="U116" s="0">
        <v>35</v>
      </c>
      <c r="V116" s="0">
        <v>301</v>
      </c>
      <c r="W116" s="1">
        <f>=HYPERLINK("10.175.1.14\MWEB.12\BT\EntityDetails.10.175.1.14.MWEB.12.-newsplus-lo.301.xlsx", "&lt;Detail&gt;")</f>
      </c>
      <c r="X116" s="1">
        <f>=HYPERLINK("10.175.1.14\MWEB.12\BT\MetricGraphs.BT.10.175.1.14.MWEB.12.xlsx", "&lt;Metrics&gt;")</f>
      </c>
      <c r="Y116" s="1">
        <f>=HYPERLINK("10.175.1.14\MWEB.12\BT\FlameGraph.BT.10.175.1.14.MWEB.12.-newsplus-lo.301.svg", "&lt;FlGraph&gt;")</f>
      </c>
      <c r="Z116" s="1">
        <f>=HYPERLINK("10.175.1.14\MWEB.12\BT\FlameChart.BT.10.175.1.14.MWEB.12.-newsplus-lo.301.svg", "&lt;FlChart&gt;")</f>
      </c>
      <c r="AA116" s="0" t="s">
        <v>107</v>
      </c>
      <c r="AB116" s="0" t="s">
        <v>108</v>
      </c>
      <c r="AC116" s="0" t="s">
        <v>142</v>
      </c>
      <c r="AD116" s="0" t="s">
        <v>408</v>
      </c>
      <c r="AE116" s="0" t="s">
        <v>109</v>
      </c>
    </row>
    <row r="117">
      <c r="A117" s="0" t="s">
        <v>28</v>
      </c>
      <c r="B117" s="0" t="s">
        <v>30</v>
      </c>
      <c r="C117" s="0" t="s">
        <v>161</v>
      </c>
      <c r="D117" s="0" t="s">
        <v>407</v>
      </c>
      <c r="E117" s="0" t="s">
        <v>223</v>
      </c>
      <c r="F117" s="0">
        <v>0</v>
      </c>
      <c r="G117" s="0" t="s">
        <v>106</v>
      </c>
      <c r="H117" s="0">
        <v>0</v>
      </c>
      <c r="I117" s="0">
        <v>0</v>
      </c>
      <c r="J117" s="0">
        <v>0</v>
      </c>
      <c r="K117" s="0">
        <v>0</v>
      </c>
      <c r="L117" s="0">
        <v>0</v>
      </c>
      <c r="M117" s="0">
        <v>0</v>
      </c>
      <c r="N117" s="0" t="b">
        <v>0</v>
      </c>
      <c r="O117" s="2">
        <v>44613.583333333336</v>
      </c>
      <c r="P117" s="2">
        <v>44613.625</v>
      </c>
      <c r="Q117" s="2">
        <v>44613.208333333336</v>
      </c>
      <c r="R117" s="2">
        <v>44613.25</v>
      </c>
      <c r="S117" s="0">
        <v>60</v>
      </c>
      <c r="T117" s="0">
        <v>12</v>
      </c>
      <c r="U117" s="0">
        <v>48</v>
      </c>
      <c r="V117" s="0">
        <v>896</v>
      </c>
      <c r="W117" s="1">
        <f>=HYPERLINK("10.175.1.14\MWEB.12\BT\EntityDetails.10.175.1.14.MWEB.12.-newsplus-lo.896.xlsx", "&lt;Detail&gt;")</f>
      </c>
      <c r="X117" s="1">
        <f>=HYPERLINK("10.175.1.14\MWEB.12\BT\MetricGraphs.BT.10.175.1.14.MWEB.12.xlsx", "&lt;Metrics&gt;")</f>
      </c>
      <c r="Y117" s="1">
        <f>=HYPERLINK("10.175.1.14\MWEB.12\BT\FlameGraph.BT.10.175.1.14.MWEB.12.-newsplus-lo.896.svg", "&lt;FlGraph&gt;")</f>
      </c>
      <c r="Z117" s="1">
        <f>=HYPERLINK("10.175.1.14\MWEB.12\BT\FlameChart.BT.10.175.1.14.MWEB.12.-newsplus-lo.896.svg", "&lt;FlChart&gt;")</f>
      </c>
      <c r="AA117" s="0" t="s">
        <v>107</v>
      </c>
      <c r="AB117" s="0" t="s">
        <v>108</v>
      </c>
      <c r="AC117" s="0" t="s">
        <v>162</v>
      </c>
      <c r="AD117" s="0" t="s">
        <v>409</v>
      </c>
      <c r="AE117" s="0" t="s">
        <v>109</v>
      </c>
    </row>
    <row r="118">
      <c r="A118" s="0" t="s">
        <v>28</v>
      </c>
      <c r="B118" s="0" t="s">
        <v>30</v>
      </c>
      <c r="C118" s="0" t="s">
        <v>139</v>
      </c>
      <c r="D118" s="0" t="s">
        <v>410</v>
      </c>
      <c r="E118" s="0" t="s">
        <v>223</v>
      </c>
      <c r="F118" s="0">
        <v>0</v>
      </c>
      <c r="G118" s="0" t="s">
        <v>106</v>
      </c>
      <c r="H118" s="0">
        <v>0</v>
      </c>
      <c r="I118" s="0">
        <v>0</v>
      </c>
      <c r="J118" s="0">
        <v>0</v>
      </c>
      <c r="K118" s="0">
        <v>0</v>
      </c>
      <c r="L118" s="0">
        <v>0</v>
      </c>
      <c r="M118" s="0">
        <v>0</v>
      </c>
      <c r="N118" s="0" t="b">
        <v>0</v>
      </c>
      <c r="O118" s="2">
        <v>44613.583333333336</v>
      </c>
      <c r="P118" s="2">
        <v>44613.625</v>
      </c>
      <c r="Q118" s="2">
        <v>44613.208333333336</v>
      </c>
      <c r="R118" s="2">
        <v>44613.25</v>
      </c>
      <c r="S118" s="0">
        <v>60</v>
      </c>
      <c r="T118" s="0">
        <v>12</v>
      </c>
      <c r="U118" s="0">
        <v>35</v>
      </c>
      <c r="V118" s="0">
        <v>179</v>
      </c>
      <c r="W118" s="1">
        <f>=HYPERLINK("10.175.1.14\MWEB.12\BT\EntityDetails.10.175.1.14.MWEB.12.-newsplus-lo.179.xlsx", "&lt;Detail&gt;")</f>
      </c>
      <c r="X118" s="1">
        <f>=HYPERLINK("10.175.1.14\MWEB.12\BT\MetricGraphs.BT.10.175.1.14.MWEB.12.xlsx", "&lt;Metrics&gt;")</f>
      </c>
      <c r="Y118" s="1">
        <f>=HYPERLINK("10.175.1.14\MWEB.12\BT\FlameGraph.BT.10.175.1.14.MWEB.12.-newsplus-lo.179.svg", "&lt;FlGraph&gt;")</f>
      </c>
      <c r="Z118" s="1">
        <f>=HYPERLINK("10.175.1.14\MWEB.12\BT\FlameChart.BT.10.175.1.14.MWEB.12.-newsplus-lo.179.svg", "&lt;FlChart&gt;")</f>
      </c>
      <c r="AA118" s="0" t="s">
        <v>107</v>
      </c>
      <c r="AB118" s="0" t="s">
        <v>108</v>
      </c>
      <c r="AC118" s="0" t="s">
        <v>142</v>
      </c>
      <c r="AD118" s="0" t="s">
        <v>411</v>
      </c>
      <c r="AE118" s="0" t="s">
        <v>109</v>
      </c>
    </row>
    <row r="119">
      <c r="A119" s="0" t="s">
        <v>28</v>
      </c>
      <c r="B119" s="0" t="s">
        <v>30</v>
      </c>
      <c r="C119" s="0" t="s">
        <v>161</v>
      </c>
      <c r="D119" s="0" t="s">
        <v>410</v>
      </c>
      <c r="E119" s="0" t="s">
        <v>223</v>
      </c>
      <c r="F119" s="0">
        <v>0</v>
      </c>
      <c r="G119" s="0" t="s">
        <v>106</v>
      </c>
      <c r="H119" s="0">
        <v>0</v>
      </c>
      <c r="I119" s="0">
        <v>0</v>
      </c>
      <c r="J119" s="0">
        <v>0</v>
      </c>
      <c r="K119" s="0">
        <v>0</v>
      </c>
      <c r="L119" s="0">
        <v>0</v>
      </c>
      <c r="M119" s="0">
        <v>0</v>
      </c>
      <c r="N119" s="0" t="b">
        <v>0</v>
      </c>
      <c r="O119" s="2">
        <v>44613.583333333336</v>
      </c>
      <c r="P119" s="2">
        <v>44613.625</v>
      </c>
      <c r="Q119" s="2">
        <v>44613.208333333336</v>
      </c>
      <c r="R119" s="2">
        <v>44613.25</v>
      </c>
      <c r="S119" s="0">
        <v>60</v>
      </c>
      <c r="T119" s="0">
        <v>12</v>
      </c>
      <c r="U119" s="0">
        <v>48</v>
      </c>
      <c r="V119" s="0">
        <v>691</v>
      </c>
      <c r="W119" s="1">
        <f>=HYPERLINK("10.175.1.14\MWEB.12\BT\EntityDetails.10.175.1.14.MWEB.12.-newsplus-lo.691.xlsx", "&lt;Detail&gt;")</f>
      </c>
      <c r="X119" s="1">
        <f>=HYPERLINK("10.175.1.14\MWEB.12\BT\MetricGraphs.BT.10.175.1.14.MWEB.12.xlsx", "&lt;Metrics&gt;")</f>
      </c>
      <c r="Y119" s="1">
        <f>=HYPERLINK("10.175.1.14\MWEB.12\BT\FlameGraph.BT.10.175.1.14.MWEB.12.-newsplus-lo.691.svg", "&lt;FlGraph&gt;")</f>
      </c>
      <c r="Z119" s="1">
        <f>=HYPERLINK("10.175.1.14\MWEB.12\BT\FlameChart.BT.10.175.1.14.MWEB.12.-newsplus-lo.691.svg", "&lt;FlChart&gt;")</f>
      </c>
      <c r="AA119" s="0" t="s">
        <v>107</v>
      </c>
      <c r="AB119" s="0" t="s">
        <v>108</v>
      </c>
      <c r="AC119" s="0" t="s">
        <v>162</v>
      </c>
      <c r="AD119" s="0" t="s">
        <v>412</v>
      </c>
      <c r="AE119" s="0" t="s">
        <v>109</v>
      </c>
    </row>
    <row r="120">
      <c r="A120" s="0" t="s">
        <v>28</v>
      </c>
      <c r="B120" s="0" t="s">
        <v>30</v>
      </c>
      <c r="C120" s="0" t="s">
        <v>139</v>
      </c>
      <c r="D120" s="0" t="s">
        <v>413</v>
      </c>
      <c r="E120" s="0" t="s">
        <v>223</v>
      </c>
      <c r="F120" s="0">
        <v>0</v>
      </c>
      <c r="G120" s="0" t="s">
        <v>106</v>
      </c>
      <c r="H120" s="0">
        <v>0</v>
      </c>
      <c r="I120" s="0">
        <v>0</v>
      </c>
      <c r="J120" s="0">
        <v>0</v>
      </c>
      <c r="K120" s="0">
        <v>0</v>
      </c>
      <c r="L120" s="0">
        <v>0</v>
      </c>
      <c r="M120" s="0">
        <v>0</v>
      </c>
      <c r="N120" s="0" t="b">
        <v>0</v>
      </c>
      <c r="O120" s="2">
        <v>44613.583333333336</v>
      </c>
      <c r="P120" s="2">
        <v>44613.625</v>
      </c>
      <c r="Q120" s="2">
        <v>44613.208333333336</v>
      </c>
      <c r="R120" s="2">
        <v>44613.25</v>
      </c>
      <c r="S120" s="0">
        <v>60</v>
      </c>
      <c r="T120" s="0">
        <v>12</v>
      </c>
      <c r="U120" s="0">
        <v>35</v>
      </c>
      <c r="V120" s="0">
        <v>258</v>
      </c>
      <c r="W120" s="1">
        <f>=HYPERLINK("10.175.1.14\MWEB.12\BT\EntityDetails.10.175.1.14.MWEB.12.-newsplus-lo.258.xlsx", "&lt;Detail&gt;")</f>
      </c>
      <c r="X120" s="1">
        <f>=HYPERLINK("10.175.1.14\MWEB.12\BT\MetricGraphs.BT.10.175.1.14.MWEB.12.xlsx", "&lt;Metrics&gt;")</f>
      </c>
      <c r="Y120" s="1">
        <f>=HYPERLINK("10.175.1.14\MWEB.12\BT\FlameGraph.BT.10.175.1.14.MWEB.12.-newsplus-lo.258.svg", "&lt;FlGraph&gt;")</f>
      </c>
      <c r="Z120" s="1">
        <f>=HYPERLINK("10.175.1.14\MWEB.12\BT\FlameChart.BT.10.175.1.14.MWEB.12.-newsplus-lo.258.svg", "&lt;FlChart&gt;")</f>
      </c>
      <c r="AA120" s="0" t="s">
        <v>107</v>
      </c>
      <c r="AB120" s="0" t="s">
        <v>108</v>
      </c>
      <c r="AC120" s="0" t="s">
        <v>142</v>
      </c>
      <c r="AD120" s="0" t="s">
        <v>414</v>
      </c>
      <c r="AE120" s="0" t="s">
        <v>109</v>
      </c>
    </row>
    <row r="121">
      <c r="A121" s="0" t="s">
        <v>28</v>
      </c>
      <c r="B121" s="0" t="s">
        <v>30</v>
      </c>
      <c r="C121" s="0" t="s">
        <v>161</v>
      </c>
      <c r="D121" s="0" t="s">
        <v>413</v>
      </c>
      <c r="E121" s="0" t="s">
        <v>223</v>
      </c>
      <c r="F121" s="0">
        <v>0</v>
      </c>
      <c r="G121" s="0" t="s">
        <v>106</v>
      </c>
      <c r="H121" s="0">
        <v>0</v>
      </c>
      <c r="I121" s="0">
        <v>0</v>
      </c>
      <c r="J121" s="0">
        <v>0</v>
      </c>
      <c r="K121" s="0">
        <v>0</v>
      </c>
      <c r="L121" s="0">
        <v>0</v>
      </c>
      <c r="M121" s="0">
        <v>0</v>
      </c>
      <c r="N121" s="0" t="b">
        <v>0</v>
      </c>
      <c r="O121" s="2">
        <v>44613.583333333336</v>
      </c>
      <c r="P121" s="2">
        <v>44613.625</v>
      </c>
      <c r="Q121" s="2">
        <v>44613.208333333336</v>
      </c>
      <c r="R121" s="2">
        <v>44613.25</v>
      </c>
      <c r="S121" s="0">
        <v>60</v>
      </c>
      <c r="T121" s="0">
        <v>12</v>
      </c>
      <c r="U121" s="0">
        <v>48</v>
      </c>
      <c r="V121" s="0">
        <v>719</v>
      </c>
      <c r="W121" s="1">
        <f>=HYPERLINK("10.175.1.14\MWEB.12\BT\EntityDetails.10.175.1.14.MWEB.12.-newsplus-lo.719.xlsx", "&lt;Detail&gt;")</f>
      </c>
      <c r="X121" s="1">
        <f>=HYPERLINK("10.175.1.14\MWEB.12\BT\MetricGraphs.BT.10.175.1.14.MWEB.12.xlsx", "&lt;Metrics&gt;")</f>
      </c>
      <c r="Y121" s="1">
        <f>=HYPERLINK("10.175.1.14\MWEB.12\BT\FlameGraph.BT.10.175.1.14.MWEB.12.-newsplus-lo.719.svg", "&lt;FlGraph&gt;")</f>
      </c>
      <c r="Z121" s="1">
        <f>=HYPERLINK("10.175.1.14\MWEB.12\BT\FlameChart.BT.10.175.1.14.MWEB.12.-newsplus-lo.719.svg", "&lt;FlChart&gt;")</f>
      </c>
      <c r="AA121" s="0" t="s">
        <v>107</v>
      </c>
      <c r="AB121" s="0" t="s">
        <v>108</v>
      </c>
      <c r="AC121" s="0" t="s">
        <v>162</v>
      </c>
      <c r="AD121" s="0" t="s">
        <v>415</v>
      </c>
      <c r="AE121" s="0" t="s">
        <v>109</v>
      </c>
    </row>
    <row r="122">
      <c r="A122" s="0" t="s">
        <v>28</v>
      </c>
      <c r="B122" s="0" t="s">
        <v>30</v>
      </c>
      <c r="C122" s="0" t="s">
        <v>139</v>
      </c>
      <c r="D122" s="0" t="s">
        <v>416</v>
      </c>
      <c r="E122" s="0" t="s">
        <v>223</v>
      </c>
      <c r="F122" s="0">
        <v>0</v>
      </c>
      <c r="G122" s="0" t="s">
        <v>106</v>
      </c>
      <c r="H122" s="0">
        <v>0</v>
      </c>
      <c r="I122" s="0">
        <v>0</v>
      </c>
      <c r="J122" s="0">
        <v>0</v>
      </c>
      <c r="K122" s="0">
        <v>0</v>
      </c>
      <c r="L122" s="0">
        <v>0</v>
      </c>
      <c r="M122" s="0">
        <v>0</v>
      </c>
      <c r="N122" s="0" t="b">
        <v>0</v>
      </c>
      <c r="O122" s="2">
        <v>44613.583333333336</v>
      </c>
      <c r="P122" s="2">
        <v>44613.625</v>
      </c>
      <c r="Q122" s="2">
        <v>44613.208333333336</v>
      </c>
      <c r="R122" s="2">
        <v>44613.25</v>
      </c>
      <c r="S122" s="0">
        <v>60</v>
      </c>
      <c r="T122" s="0">
        <v>12</v>
      </c>
      <c r="U122" s="0">
        <v>35</v>
      </c>
      <c r="V122" s="0">
        <v>397</v>
      </c>
      <c r="W122" s="1">
        <f>=HYPERLINK("10.175.1.14\MWEB.12\BT\EntityDetails.10.175.1.14.MWEB.12.-newsplus-my.397.xlsx", "&lt;Detail&gt;")</f>
      </c>
      <c r="X122" s="1">
        <f>=HYPERLINK("10.175.1.14\MWEB.12\BT\MetricGraphs.BT.10.175.1.14.MWEB.12.xlsx", "&lt;Metrics&gt;")</f>
      </c>
      <c r="Y122" s="1">
        <f>=HYPERLINK("10.175.1.14\MWEB.12\BT\FlameGraph.BT.10.175.1.14.MWEB.12.-newsplus-my.397.svg", "&lt;FlGraph&gt;")</f>
      </c>
      <c r="Z122" s="1">
        <f>=HYPERLINK("10.175.1.14\MWEB.12\BT\FlameChart.BT.10.175.1.14.MWEB.12.-newsplus-my.397.svg", "&lt;FlChart&gt;")</f>
      </c>
      <c r="AA122" s="0" t="s">
        <v>107</v>
      </c>
      <c r="AB122" s="0" t="s">
        <v>108</v>
      </c>
      <c r="AC122" s="0" t="s">
        <v>142</v>
      </c>
      <c r="AD122" s="0" t="s">
        <v>417</v>
      </c>
      <c r="AE122" s="0" t="s">
        <v>109</v>
      </c>
    </row>
    <row r="123">
      <c r="A123" s="0" t="s">
        <v>28</v>
      </c>
      <c r="B123" s="0" t="s">
        <v>30</v>
      </c>
      <c r="C123" s="0" t="s">
        <v>139</v>
      </c>
      <c r="D123" s="0" t="s">
        <v>418</v>
      </c>
      <c r="E123" s="0" t="s">
        <v>223</v>
      </c>
      <c r="F123" s="0">
        <v>0</v>
      </c>
      <c r="G123" s="0" t="s">
        <v>106</v>
      </c>
      <c r="H123" s="0">
        <v>0</v>
      </c>
      <c r="I123" s="0">
        <v>0</v>
      </c>
      <c r="J123" s="0">
        <v>0</v>
      </c>
      <c r="K123" s="0">
        <v>0</v>
      </c>
      <c r="L123" s="0">
        <v>0</v>
      </c>
      <c r="M123" s="0">
        <v>0</v>
      </c>
      <c r="N123" s="0" t="b">
        <v>0</v>
      </c>
      <c r="O123" s="2">
        <v>44613.583333333336</v>
      </c>
      <c r="P123" s="2">
        <v>44613.625</v>
      </c>
      <c r="Q123" s="2">
        <v>44613.208333333336</v>
      </c>
      <c r="R123" s="2">
        <v>44613.25</v>
      </c>
      <c r="S123" s="0">
        <v>60</v>
      </c>
      <c r="T123" s="0">
        <v>12</v>
      </c>
      <c r="U123" s="0">
        <v>35</v>
      </c>
      <c r="V123" s="0">
        <v>325</v>
      </c>
      <c r="W123" s="1">
        <f>=HYPERLINK("10.175.1.14\MWEB.12\BT\EntityDetails.10.175.1.14.MWEB.12.-newsplus-pa.325.xlsx", "&lt;Detail&gt;")</f>
      </c>
      <c r="X123" s="1">
        <f>=HYPERLINK("10.175.1.14\MWEB.12\BT\MetricGraphs.BT.10.175.1.14.MWEB.12.xlsx", "&lt;Metrics&gt;")</f>
      </c>
      <c r="Y123" s="1">
        <f>=HYPERLINK("10.175.1.14\MWEB.12\BT\FlameGraph.BT.10.175.1.14.MWEB.12.-newsplus-pa.325.svg", "&lt;FlGraph&gt;")</f>
      </c>
      <c r="Z123" s="1">
        <f>=HYPERLINK("10.175.1.14\MWEB.12\BT\FlameChart.BT.10.175.1.14.MWEB.12.-newsplus-pa.325.svg", "&lt;FlChart&gt;")</f>
      </c>
      <c r="AA123" s="0" t="s">
        <v>107</v>
      </c>
      <c r="AB123" s="0" t="s">
        <v>108</v>
      </c>
      <c r="AC123" s="0" t="s">
        <v>142</v>
      </c>
      <c r="AD123" s="0" t="s">
        <v>419</v>
      </c>
      <c r="AE123" s="0" t="s">
        <v>109</v>
      </c>
    </row>
    <row r="124">
      <c r="A124" s="0" t="s">
        <v>28</v>
      </c>
      <c r="B124" s="0" t="s">
        <v>30</v>
      </c>
      <c r="C124" s="0" t="s">
        <v>139</v>
      </c>
      <c r="D124" s="0" t="s">
        <v>420</v>
      </c>
      <c r="E124" s="0" t="s">
        <v>223</v>
      </c>
      <c r="F124" s="0">
        <v>0</v>
      </c>
      <c r="G124" s="0" t="s">
        <v>106</v>
      </c>
      <c r="H124" s="0">
        <v>0</v>
      </c>
      <c r="I124" s="0">
        <v>0</v>
      </c>
      <c r="J124" s="0">
        <v>0</v>
      </c>
      <c r="K124" s="0">
        <v>0</v>
      </c>
      <c r="L124" s="0">
        <v>0</v>
      </c>
      <c r="M124" s="0">
        <v>0</v>
      </c>
      <c r="N124" s="0" t="b">
        <v>0</v>
      </c>
      <c r="O124" s="2">
        <v>44613.583333333336</v>
      </c>
      <c r="P124" s="2">
        <v>44613.625</v>
      </c>
      <c r="Q124" s="2">
        <v>44613.208333333336</v>
      </c>
      <c r="R124" s="2">
        <v>44613.25</v>
      </c>
      <c r="S124" s="0">
        <v>60</v>
      </c>
      <c r="T124" s="0">
        <v>12</v>
      </c>
      <c r="U124" s="0">
        <v>35</v>
      </c>
      <c r="V124" s="0">
        <v>380</v>
      </c>
      <c r="W124" s="1">
        <f>=HYPERLINK("10.175.1.14\MWEB.12\BT\EntityDetails.10.175.1.14.MWEB.12.-newsplus-po.380.xlsx", "&lt;Detail&gt;")</f>
      </c>
      <c r="X124" s="1">
        <f>=HYPERLINK("10.175.1.14\MWEB.12\BT\MetricGraphs.BT.10.175.1.14.MWEB.12.xlsx", "&lt;Metrics&gt;")</f>
      </c>
      <c r="Y124" s="1">
        <f>=HYPERLINK("10.175.1.14\MWEB.12\BT\FlameGraph.BT.10.175.1.14.MWEB.12.-newsplus-po.380.svg", "&lt;FlGraph&gt;")</f>
      </c>
      <c r="Z124" s="1">
        <f>=HYPERLINK("10.175.1.14\MWEB.12\BT\FlameChart.BT.10.175.1.14.MWEB.12.-newsplus-po.380.svg", "&lt;FlChart&gt;")</f>
      </c>
      <c r="AA124" s="0" t="s">
        <v>107</v>
      </c>
      <c r="AB124" s="0" t="s">
        <v>108</v>
      </c>
      <c r="AC124" s="0" t="s">
        <v>142</v>
      </c>
      <c r="AD124" s="0" t="s">
        <v>421</v>
      </c>
      <c r="AE124" s="0" t="s">
        <v>109</v>
      </c>
    </row>
    <row r="125">
      <c r="A125" s="0" t="s">
        <v>28</v>
      </c>
      <c r="B125" s="0" t="s">
        <v>30</v>
      </c>
      <c r="C125" s="0" t="s">
        <v>139</v>
      </c>
      <c r="D125" s="0" t="s">
        <v>422</v>
      </c>
      <c r="E125" s="0" t="s">
        <v>223</v>
      </c>
      <c r="F125" s="0">
        <v>0</v>
      </c>
      <c r="G125" s="0" t="s">
        <v>106</v>
      </c>
      <c r="H125" s="0">
        <v>0</v>
      </c>
      <c r="I125" s="0">
        <v>0</v>
      </c>
      <c r="J125" s="0">
        <v>0</v>
      </c>
      <c r="K125" s="0">
        <v>0</v>
      </c>
      <c r="L125" s="0">
        <v>0</v>
      </c>
      <c r="M125" s="0">
        <v>0</v>
      </c>
      <c r="N125" s="0" t="b">
        <v>0</v>
      </c>
      <c r="O125" s="2">
        <v>44613.583333333336</v>
      </c>
      <c r="P125" s="2">
        <v>44613.625</v>
      </c>
      <c r="Q125" s="2">
        <v>44613.208333333336</v>
      </c>
      <c r="R125" s="2">
        <v>44613.25</v>
      </c>
      <c r="S125" s="0">
        <v>60</v>
      </c>
      <c r="T125" s="0">
        <v>12</v>
      </c>
      <c r="U125" s="0">
        <v>35</v>
      </c>
      <c r="V125" s="0">
        <v>289</v>
      </c>
      <c r="W125" s="1">
        <f>=HYPERLINK("10.175.1.14\MWEB.12\BT\EntityDetails.10.175.1.14.MWEB.12.-newsplus-re.289.xlsx", "&lt;Detail&gt;")</f>
      </c>
      <c r="X125" s="1">
        <f>=HYPERLINK("10.175.1.14\MWEB.12\BT\MetricGraphs.BT.10.175.1.14.MWEB.12.xlsx", "&lt;Metrics&gt;")</f>
      </c>
      <c r="Y125" s="1">
        <f>=HYPERLINK("10.175.1.14\MWEB.12\BT\FlameGraph.BT.10.175.1.14.MWEB.12.-newsplus-re.289.svg", "&lt;FlGraph&gt;")</f>
      </c>
      <c r="Z125" s="1">
        <f>=HYPERLINK("10.175.1.14\MWEB.12\BT\FlameChart.BT.10.175.1.14.MWEB.12.-newsplus-re.289.svg", "&lt;FlChart&gt;")</f>
      </c>
      <c r="AA125" s="0" t="s">
        <v>107</v>
      </c>
      <c r="AB125" s="0" t="s">
        <v>108</v>
      </c>
      <c r="AC125" s="0" t="s">
        <v>142</v>
      </c>
      <c r="AD125" s="0" t="s">
        <v>423</v>
      </c>
      <c r="AE125" s="0" t="s">
        <v>109</v>
      </c>
    </row>
    <row r="126">
      <c r="A126" s="0" t="s">
        <v>28</v>
      </c>
      <c r="B126" s="0" t="s">
        <v>30</v>
      </c>
      <c r="C126" s="0" t="s">
        <v>139</v>
      </c>
      <c r="D126" s="0" t="s">
        <v>424</v>
      </c>
      <c r="E126" s="0" t="s">
        <v>223</v>
      </c>
      <c r="F126" s="0">
        <v>0</v>
      </c>
      <c r="G126" s="0" t="s">
        <v>106</v>
      </c>
      <c r="H126" s="0">
        <v>0</v>
      </c>
      <c r="I126" s="0">
        <v>0</v>
      </c>
      <c r="J126" s="0">
        <v>0</v>
      </c>
      <c r="K126" s="0">
        <v>0</v>
      </c>
      <c r="L126" s="0">
        <v>0</v>
      </c>
      <c r="M126" s="0">
        <v>0</v>
      </c>
      <c r="N126" s="0" t="b">
        <v>0</v>
      </c>
      <c r="O126" s="2">
        <v>44613.583333333336</v>
      </c>
      <c r="P126" s="2">
        <v>44613.625</v>
      </c>
      <c r="Q126" s="2">
        <v>44613.208333333336</v>
      </c>
      <c r="R126" s="2">
        <v>44613.25</v>
      </c>
      <c r="S126" s="0">
        <v>60</v>
      </c>
      <c r="T126" s="0">
        <v>12</v>
      </c>
      <c r="U126" s="0">
        <v>35</v>
      </c>
      <c r="V126" s="0">
        <v>181</v>
      </c>
      <c r="W126" s="1">
        <f>=HYPERLINK("10.175.1.14\MWEB.12\BT\EntityDetails.10.175.1.14.MWEB.12.-newsplus-re.181.xlsx", "&lt;Detail&gt;")</f>
      </c>
      <c r="X126" s="1">
        <f>=HYPERLINK("10.175.1.14\MWEB.12\BT\MetricGraphs.BT.10.175.1.14.MWEB.12.xlsx", "&lt;Metrics&gt;")</f>
      </c>
      <c r="Y126" s="1">
        <f>=HYPERLINK("10.175.1.14\MWEB.12\BT\FlameGraph.BT.10.175.1.14.MWEB.12.-newsplus-re.181.svg", "&lt;FlGraph&gt;")</f>
      </c>
      <c r="Z126" s="1">
        <f>=HYPERLINK("10.175.1.14\MWEB.12\BT\FlameChart.BT.10.175.1.14.MWEB.12.-newsplus-re.181.svg", "&lt;FlChart&gt;")</f>
      </c>
      <c r="AA126" s="0" t="s">
        <v>107</v>
      </c>
      <c r="AB126" s="0" t="s">
        <v>108</v>
      </c>
      <c r="AC126" s="0" t="s">
        <v>142</v>
      </c>
      <c r="AD126" s="0" t="s">
        <v>425</v>
      </c>
      <c r="AE126" s="0" t="s">
        <v>109</v>
      </c>
    </row>
    <row r="127">
      <c r="A127" s="0" t="s">
        <v>28</v>
      </c>
      <c r="B127" s="0" t="s">
        <v>30</v>
      </c>
      <c r="C127" s="0" t="s">
        <v>161</v>
      </c>
      <c r="D127" s="0" t="s">
        <v>424</v>
      </c>
      <c r="E127" s="0" t="s">
        <v>223</v>
      </c>
      <c r="F127" s="0">
        <v>0</v>
      </c>
      <c r="G127" s="0" t="s">
        <v>106</v>
      </c>
      <c r="H127" s="0">
        <v>0</v>
      </c>
      <c r="I127" s="0">
        <v>0</v>
      </c>
      <c r="J127" s="0">
        <v>0</v>
      </c>
      <c r="K127" s="0">
        <v>0</v>
      </c>
      <c r="L127" s="0">
        <v>0</v>
      </c>
      <c r="M127" s="0">
        <v>0</v>
      </c>
      <c r="N127" s="0" t="b">
        <v>0</v>
      </c>
      <c r="O127" s="2">
        <v>44613.583333333336</v>
      </c>
      <c r="P127" s="2">
        <v>44613.625</v>
      </c>
      <c r="Q127" s="2">
        <v>44613.208333333336</v>
      </c>
      <c r="R127" s="2">
        <v>44613.25</v>
      </c>
      <c r="S127" s="0">
        <v>60</v>
      </c>
      <c r="T127" s="0">
        <v>12</v>
      </c>
      <c r="U127" s="0">
        <v>48</v>
      </c>
      <c r="V127" s="0">
        <v>721</v>
      </c>
      <c r="W127" s="1">
        <f>=HYPERLINK("10.175.1.14\MWEB.12\BT\EntityDetails.10.175.1.14.MWEB.12.-newsplus-re.721.xlsx", "&lt;Detail&gt;")</f>
      </c>
      <c r="X127" s="1">
        <f>=HYPERLINK("10.175.1.14\MWEB.12\BT\MetricGraphs.BT.10.175.1.14.MWEB.12.xlsx", "&lt;Metrics&gt;")</f>
      </c>
      <c r="Y127" s="1">
        <f>=HYPERLINK("10.175.1.14\MWEB.12\BT\FlameGraph.BT.10.175.1.14.MWEB.12.-newsplus-re.721.svg", "&lt;FlGraph&gt;")</f>
      </c>
      <c r="Z127" s="1">
        <f>=HYPERLINK("10.175.1.14\MWEB.12\BT\FlameChart.BT.10.175.1.14.MWEB.12.-newsplus-re.721.svg", "&lt;FlChart&gt;")</f>
      </c>
      <c r="AA127" s="0" t="s">
        <v>107</v>
      </c>
      <c r="AB127" s="0" t="s">
        <v>108</v>
      </c>
      <c r="AC127" s="0" t="s">
        <v>162</v>
      </c>
      <c r="AD127" s="0" t="s">
        <v>426</v>
      </c>
      <c r="AE127" s="0" t="s">
        <v>109</v>
      </c>
    </row>
    <row r="128">
      <c r="A128" s="0" t="s">
        <v>28</v>
      </c>
      <c r="B128" s="0" t="s">
        <v>30</v>
      </c>
      <c r="C128" s="0" t="s">
        <v>139</v>
      </c>
      <c r="D128" s="0" t="s">
        <v>427</v>
      </c>
      <c r="E128" s="0" t="s">
        <v>223</v>
      </c>
      <c r="F128" s="0">
        <v>0</v>
      </c>
      <c r="G128" s="0" t="s">
        <v>106</v>
      </c>
      <c r="H128" s="0">
        <v>0</v>
      </c>
      <c r="I128" s="0">
        <v>0</v>
      </c>
      <c r="J128" s="0">
        <v>0</v>
      </c>
      <c r="K128" s="0">
        <v>0</v>
      </c>
      <c r="L128" s="0">
        <v>0</v>
      </c>
      <c r="M128" s="0">
        <v>0</v>
      </c>
      <c r="N128" s="0" t="b">
        <v>0</v>
      </c>
      <c r="O128" s="2">
        <v>44613.583333333336</v>
      </c>
      <c r="P128" s="2">
        <v>44613.625</v>
      </c>
      <c r="Q128" s="2">
        <v>44613.208333333336</v>
      </c>
      <c r="R128" s="2">
        <v>44613.25</v>
      </c>
      <c r="S128" s="0">
        <v>60</v>
      </c>
      <c r="T128" s="0">
        <v>12</v>
      </c>
      <c r="U128" s="0">
        <v>35</v>
      </c>
      <c r="V128" s="0">
        <v>280</v>
      </c>
      <c r="W128" s="1">
        <f>=HYPERLINK("10.175.1.14\MWEB.12\BT\EntityDetails.10.175.1.14.MWEB.12.-newsplus-re.280.xlsx", "&lt;Detail&gt;")</f>
      </c>
      <c r="X128" s="1">
        <f>=HYPERLINK("10.175.1.14\MWEB.12\BT\MetricGraphs.BT.10.175.1.14.MWEB.12.xlsx", "&lt;Metrics&gt;")</f>
      </c>
      <c r="Y128" s="1">
        <f>=HYPERLINK("10.175.1.14\MWEB.12\BT\FlameGraph.BT.10.175.1.14.MWEB.12.-newsplus-re.280.svg", "&lt;FlGraph&gt;")</f>
      </c>
      <c r="Z128" s="1">
        <f>=HYPERLINK("10.175.1.14\MWEB.12\BT\FlameChart.BT.10.175.1.14.MWEB.12.-newsplus-re.280.svg", "&lt;FlChart&gt;")</f>
      </c>
      <c r="AA128" s="0" t="s">
        <v>107</v>
      </c>
      <c r="AB128" s="0" t="s">
        <v>108</v>
      </c>
      <c r="AC128" s="0" t="s">
        <v>142</v>
      </c>
      <c r="AD128" s="0" t="s">
        <v>428</v>
      </c>
      <c r="AE128" s="0" t="s">
        <v>109</v>
      </c>
    </row>
    <row r="129">
      <c r="A129" s="0" t="s">
        <v>28</v>
      </c>
      <c r="B129" s="0" t="s">
        <v>30</v>
      </c>
      <c r="C129" s="0" t="s">
        <v>139</v>
      </c>
      <c r="D129" s="0" t="s">
        <v>429</v>
      </c>
      <c r="E129" s="0" t="s">
        <v>223</v>
      </c>
      <c r="F129" s="0">
        <v>0</v>
      </c>
      <c r="G129" s="0" t="s">
        <v>106</v>
      </c>
      <c r="H129" s="0">
        <v>0</v>
      </c>
      <c r="I129" s="0">
        <v>0</v>
      </c>
      <c r="J129" s="0">
        <v>0</v>
      </c>
      <c r="K129" s="0">
        <v>0</v>
      </c>
      <c r="L129" s="0">
        <v>0</v>
      </c>
      <c r="M129" s="0">
        <v>0</v>
      </c>
      <c r="N129" s="0" t="b">
        <v>0</v>
      </c>
      <c r="O129" s="2">
        <v>44613.583333333336</v>
      </c>
      <c r="P129" s="2">
        <v>44613.625</v>
      </c>
      <c r="Q129" s="2">
        <v>44613.208333333336</v>
      </c>
      <c r="R129" s="2">
        <v>44613.25</v>
      </c>
      <c r="S129" s="0">
        <v>60</v>
      </c>
      <c r="T129" s="0">
        <v>12</v>
      </c>
      <c r="U129" s="0">
        <v>35</v>
      </c>
      <c r="V129" s="0">
        <v>231</v>
      </c>
      <c r="W129" s="1">
        <f>=HYPERLINK("10.175.1.14\MWEB.12\BT\EntityDetails.10.175.1.14.MWEB.12.-newsplus-re.231.xlsx", "&lt;Detail&gt;")</f>
      </c>
      <c r="X129" s="1">
        <f>=HYPERLINK("10.175.1.14\MWEB.12\BT\MetricGraphs.BT.10.175.1.14.MWEB.12.xlsx", "&lt;Metrics&gt;")</f>
      </c>
      <c r="Y129" s="1">
        <f>=HYPERLINK("10.175.1.14\MWEB.12\BT\FlameGraph.BT.10.175.1.14.MWEB.12.-newsplus-re.231.svg", "&lt;FlGraph&gt;")</f>
      </c>
      <c r="Z129" s="1">
        <f>=HYPERLINK("10.175.1.14\MWEB.12\BT\FlameChart.BT.10.175.1.14.MWEB.12.-newsplus-re.231.svg", "&lt;FlChart&gt;")</f>
      </c>
      <c r="AA129" s="0" t="s">
        <v>107</v>
      </c>
      <c r="AB129" s="0" t="s">
        <v>108</v>
      </c>
      <c r="AC129" s="0" t="s">
        <v>142</v>
      </c>
      <c r="AD129" s="0" t="s">
        <v>430</v>
      </c>
      <c r="AE129" s="0" t="s">
        <v>109</v>
      </c>
    </row>
    <row r="130">
      <c r="A130" s="0" t="s">
        <v>28</v>
      </c>
      <c r="B130" s="0" t="s">
        <v>30</v>
      </c>
      <c r="C130" s="0" t="s">
        <v>161</v>
      </c>
      <c r="D130" s="0" t="s">
        <v>429</v>
      </c>
      <c r="E130" s="0" t="s">
        <v>223</v>
      </c>
      <c r="F130" s="0">
        <v>0</v>
      </c>
      <c r="G130" s="0" t="s">
        <v>106</v>
      </c>
      <c r="H130" s="0">
        <v>0</v>
      </c>
      <c r="I130" s="0">
        <v>0</v>
      </c>
      <c r="J130" s="0">
        <v>0</v>
      </c>
      <c r="K130" s="0">
        <v>0</v>
      </c>
      <c r="L130" s="0">
        <v>0</v>
      </c>
      <c r="M130" s="0">
        <v>0</v>
      </c>
      <c r="N130" s="0" t="b">
        <v>0</v>
      </c>
      <c r="O130" s="2">
        <v>44613.583333333336</v>
      </c>
      <c r="P130" s="2">
        <v>44613.625</v>
      </c>
      <c r="Q130" s="2">
        <v>44613.208333333336</v>
      </c>
      <c r="R130" s="2">
        <v>44613.25</v>
      </c>
      <c r="S130" s="0">
        <v>60</v>
      </c>
      <c r="T130" s="0">
        <v>12</v>
      </c>
      <c r="U130" s="0">
        <v>48</v>
      </c>
      <c r="V130" s="0">
        <v>722</v>
      </c>
      <c r="W130" s="1">
        <f>=HYPERLINK("10.175.1.14\MWEB.12\BT\EntityDetails.10.175.1.14.MWEB.12.-newsplus-re.722.xlsx", "&lt;Detail&gt;")</f>
      </c>
      <c r="X130" s="1">
        <f>=HYPERLINK("10.175.1.14\MWEB.12\BT\MetricGraphs.BT.10.175.1.14.MWEB.12.xlsx", "&lt;Metrics&gt;")</f>
      </c>
      <c r="Y130" s="1">
        <f>=HYPERLINK("10.175.1.14\MWEB.12\BT\FlameGraph.BT.10.175.1.14.MWEB.12.-newsplus-re.722.svg", "&lt;FlGraph&gt;")</f>
      </c>
      <c r="Z130" s="1">
        <f>=HYPERLINK("10.175.1.14\MWEB.12\BT\FlameChart.BT.10.175.1.14.MWEB.12.-newsplus-re.722.svg", "&lt;FlChart&gt;")</f>
      </c>
      <c r="AA130" s="0" t="s">
        <v>107</v>
      </c>
      <c r="AB130" s="0" t="s">
        <v>108</v>
      </c>
      <c r="AC130" s="0" t="s">
        <v>162</v>
      </c>
      <c r="AD130" s="0" t="s">
        <v>431</v>
      </c>
      <c r="AE130" s="0" t="s">
        <v>109</v>
      </c>
    </row>
    <row r="131">
      <c r="A131" s="0" t="s">
        <v>28</v>
      </c>
      <c r="B131" s="0" t="s">
        <v>30</v>
      </c>
      <c r="C131" s="0" t="s">
        <v>139</v>
      </c>
      <c r="D131" s="0" t="s">
        <v>432</v>
      </c>
      <c r="E131" s="0" t="s">
        <v>223</v>
      </c>
      <c r="F131" s="0">
        <v>0</v>
      </c>
      <c r="G131" s="0" t="s">
        <v>106</v>
      </c>
      <c r="H131" s="0">
        <v>0</v>
      </c>
      <c r="I131" s="0">
        <v>0</v>
      </c>
      <c r="J131" s="0">
        <v>0</v>
      </c>
      <c r="K131" s="0">
        <v>0</v>
      </c>
      <c r="L131" s="0">
        <v>0</v>
      </c>
      <c r="M131" s="0">
        <v>0</v>
      </c>
      <c r="N131" s="0" t="b">
        <v>0</v>
      </c>
      <c r="O131" s="2">
        <v>44613.583333333336</v>
      </c>
      <c r="P131" s="2">
        <v>44613.625</v>
      </c>
      <c r="Q131" s="2">
        <v>44613.208333333336</v>
      </c>
      <c r="R131" s="2">
        <v>44613.25</v>
      </c>
      <c r="S131" s="0">
        <v>60</v>
      </c>
      <c r="T131" s="0">
        <v>12</v>
      </c>
      <c r="U131" s="0">
        <v>35</v>
      </c>
      <c r="V131" s="0">
        <v>248</v>
      </c>
      <c r="W131" s="1">
        <f>=HYPERLINK("10.175.1.14\MWEB.12\BT\EntityDetails.10.175.1.14.MWEB.12.-newsplus-re.248.xlsx", "&lt;Detail&gt;")</f>
      </c>
      <c r="X131" s="1">
        <f>=HYPERLINK("10.175.1.14\MWEB.12\BT\MetricGraphs.BT.10.175.1.14.MWEB.12.xlsx", "&lt;Metrics&gt;")</f>
      </c>
      <c r="Y131" s="1">
        <f>=HYPERLINK("10.175.1.14\MWEB.12\BT\FlameGraph.BT.10.175.1.14.MWEB.12.-newsplus-re.248.svg", "&lt;FlGraph&gt;")</f>
      </c>
      <c r="Z131" s="1">
        <f>=HYPERLINK("10.175.1.14\MWEB.12\BT\FlameChart.BT.10.175.1.14.MWEB.12.-newsplus-re.248.svg", "&lt;FlChart&gt;")</f>
      </c>
      <c r="AA131" s="0" t="s">
        <v>107</v>
      </c>
      <c r="AB131" s="0" t="s">
        <v>108</v>
      </c>
      <c r="AC131" s="0" t="s">
        <v>142</v>
      </c>
      <c r="AD131" s="0" t="s">
        <v>433</v>
      </c>
      <c r="AE131" s="0" t="s">
        <v>109</v>
      </c>
    </row>
    <row r="132">
      <c r="A132" s="0" t="s">
        <v>28</v>
      </c>
      <c r="B132" s="0" t="s">
        <v>30</v>
      </c>
      <c r="C132" s="0" t="s">
        <v>139</v>
      </c>
      <c r="D132" s="0" t="s">
        <v>434</v>
      </c>
      <c r="E132" s="0" t="s">
        <v>223</v>
      </c>
      <c r="F132" s="0">
        <v>0</v>
      </c>
      <c r="G132" s="0" t="s">
        <v>106</v>
      </c>
      <c r="H132" s="0">
        <v>0</v>
      </c>
      <c r="I132" s="0">
        <v>0</v>
      </c>
      <c r="J132" s="0">
        <v>0</v>
      </c>
      <c r="K132" s="0">
        <v>0</v>
      </c>
      <c r="L132" s="0">
        <v>0</v>
      </c>
      <c r="M132" s="0">
        <v>0</v>
      </c>
      <c r="N132" s="0" t="b">
        <v>0</v>
      </c>
      <c r="O132" s="2">
        <v>44613.583333333336</v>
      </c>
      <c r="P132" s="2">
        <v>44613.625</v>
      </c>
      <c r="Q132" s="2">
        <v>44613.208333333336</v>
      </c>
      <c r="R132" s="2">
        <v>44613.25</v>
      </c>
      <c r="S132" s="0">
        <v>60</v>
      </c>
      <c r="T132" s="0">
        <v>12</v>
      </c>
      <c r="U132" s="0">
        <v>35</v>
      </c>
      <c r="V132" s="0">
        <v>284</v>
      </c>
      <c r="W132" s="1">
        <f>=HYPERLINK("10.175.1.14\MWEB.12\BT\EntityDetails.10.175.1.14.MWEB.12.-newsplus-re.284.xlsx", "&lt;Detail&gt;")</f>
      </c>
      <c r="X132" s="1">
        <f>=HYPERLINK("10.175.1.14\MWEB.12\BT\MetricGraphs.BT.10.175.1.14.MWEB.12.xlsx", "&lt;Metrics&gt;")</f>
      </c>
      <c r="Y132" s="1">
        <f>=HYPERLINK("10.175.1.14\MWEB.12\BT\FlameGraph.BT.10.175.1.14.MWEB.12.-newsplus-re.284.svg", "&lt;FlGraph&gt;")</f>
      </c>
      <c r="Z132" s="1">
        <f>=HYPERLINK("10.175.1.14\MWEB.12\BT\FlameChart.BT.10.175.1.14.MWEB.12.-newsplus-re.284.svg", "&lt;FlChart&gt;")</f>
      </c>
      <c r="AA132" s="0" t="s">
        <v>107</v>
      </c>
      <c r="AB132" s="0" t="s">
        <v>108</v>
      </c>
      <c r="AC132" s="0" t="s">
        <v>142</v>
      </c>
      <c r="AD132" s="0" t="s">
        <v>435</v>
      </c>
      <c r="AE132" s="0" t="s">
        <v>109</v>
      </c>
    </row>
    <row r="133">
      <c r="A133" s="0" t="s">
        <v>28</v>
      </c>
      <c r="B133" s="0" t="s">
        <v>30</v>
      </c>
      <c r="C133" s="0" t="s">
        <v>139</v>
      </c>
      <c r="D133" s="0" t="s">
        <v>436</v>
      </c>
      <c r="E133" s="0" t="s">
        <v>223</v>
      </c>
      <c r="F133" s="0">
        <v>0</v>
      </c>
      <c r="G133" s="0" t="s">
        <v>106</v>
      </c>
      <c r="H133" s="0">
        <v>0</v>
      </c>
      <c r="I133" s="0">
        <v>0</v>
      </c>
      <c r="J133" s="0">
        <v>0</v>
      </c>
      <c r="K133" s="0">
        <v>0</v>
      </c>
      <c r="L133" s="0">
        <v>0</v>
      </c>
      <c r="M133" s="0">
        <v>0</v>
      </c>
      <c r="N133" s="0" t="b">
        <v>0</v>
      </c>
      <c r="O133" s="2">
        <v>44613.583333333336</v>
      </c>
      <c r="P133" s="2">
        <v>44613.625</v>
      </c>
      <c r="Q133" s="2">
        <v>44613.208333333336</v>
      </c>
      <c r="R133" s="2">
        <v>44613.25</v>
      </c>
      <c r="S133" s="0">
        <v>60</v>
      </c>
      <c r="T133" s="0">
        <v>12</v>
      </c>
      <c r="U133" s="0">
        <v>35</v>
      </c>
      <c r="V133" s="0">
        <v>285</v>
      </c>
      <c r="W133" s="1">
        <f>=HYPERLINK("10.175.1.14\MWEB.12\BT\EntityDetails.10.175.1.14.MWEB.12.-newsplus-re.285.xlsx", "&lt;Detail&gt;")</f>
      </c>
      <c r="X133" s="1">
        <f>=HYPERLINK("10.175.1.14\MWEB.12\BT\MetricGraphs.BT.10.175.1.14.MWEB.12.xlsx", "&lt;Metrics&gt;")</f>
      </c>
      <c r="Y133" s="1">
        <f>=HYPERLINK("10.175.1.14\MWEB.12\BT\FlameGraph.BT.10.175.1.14.MWEB.12.-newsplus-re.285.svg", "&lt;FlGraph&gt;")</f>
      </c>
      <c r="Z133" s="1">
        <f>=HYPERLINK("10.175.1.14\MWEB.12\BT\FlameChart.BT.10.175.1.14.MWEB.12.-newsplus-re.285.svg", "&lt;FlChart&gt;")</f>
      </c>
      <c r="AA133" s="0" t="s">
        <v>107</v>
      </c>
      <c r="AB133" s="0" t="s">
        <v>108</v>
      </c>
      <c r="AC133" s="0" t="s">
        <v>142</v>
      </c>
      <c r="AD133" s="0" t="s">
        <v>437</v>
      </c>
      <c r="AE133" s="0" t="s">
        <v>109</v>
      </c>
    </row>
    <row r="134">
      <c r="A134" s="0" t="s">
        <v>28</v>
      </c>
      <c r="B134" s="0" t="s">
        <v>30</v>
      </c>
      <c r="C134" s="0" t="s">
        <v>139</v>
      </c>
      <c r="D134" s="0" t="s">
        <v>438</v>
      </c>
      <c r="E134" s="0" t="s">
        <v>223</v>
      </c>
      <c r="F134" s="0">
        <v>0</v>
      </c>
      <c r="G134" s="0" t="s">
        <v>106</v>
      </c>
      <c r="H134" s="0">
        <v>0</v>
      </c>
      <c r="I134" s="0">
        <v>0</v>
      </c>
      <c r="J134" s="0">
        <v>0</v>
      </c>
      <c r="K134" s="0">
        <v>0</v>
      </c>
      <c r="L134" s="0">
        <v>0</v>
      </c>
      <c r="M134" s="0">
        <v>0</v>
      </c>
      <c r="N134" s="0" t="b">
        <v>0</v>
      </c>
      <c r="O134" s="2">
        <v>44613.583333333336</v>
      </c>
      <c r="P134" s="2">
        <v>44613.625</v>
      </c>
      <c r="Q134" s="2">
        <v>44613.208333333336</v>
      </c>
      <c r="R134" s="2">
        <v>44613.25</v>
      </c>
      <c r="S134" s="0">
        <v>60</v>
      </c>
      <c r="T134" s="0">
        <v>12</v>
      </c>
      <c r="U134" s="0">
        <v>35</v>
      </c>
      <c r="V134" s="0">
        <v>287</v>
      </c>
      <c r="W134" s="1">
        <f>=HYPERLINK("10.175.1.14\MWEB.12\BT\EntityDetails.10.175.1.14.MWEB.12.-newsplus-re.287.xlsx", "&lt;Detail&gt;")</f>
      </c>
      <c r="X134" s="1">
        <f>=HYPERLINK("10.175.1.14\MWEB.12\BT\MetricGraphs.BT.10.175.1.14.MWEB.12.xlsx", "&lt;Metrics&gt;")</f>
      </c>
      <c r="Y134" s="1">
        <f>=HYPERLINK("10.175.1.14\MWEB.12\BT\FlameGraph.BT.10.175.1.14.MWEB.12.-newsplus-re.287.svg", "&lt;FlGraph&gt;")</f>
      </c>
      <c r="Z134" s="1">
        <f>=HYPERLINK("10.175.1.14\MWEB.12\BT\FlameChart.BT.10.175.1.14.MWEB.12.-newsplus-re.287.svg", "&lt;FlChart&gt;")</f>
      </c>
      <c r="AA134" s="0" t="s">
        <v>107</v>
      </c>
      <c r="AB134" s="0" t="s">
        <v>108</v>
      </c>
      <c r="AC134" s="0" t="s">
        <v>142</v>
      </c>
      <c r="AD134" s="0" t="s">
        <v>439</v>
      </c>
      <c r="AE134" s="0" t="s">
        <v>109</v>
      </c>
    </row>
    <row r="135">
      <c r="A135" s="0" t="s">
        <v>28</v>
      </c>
      <c r="B135" s="0" t="s">
        <v>30</v>
      </c>
      <c r="C135" s="0" t="s">
        <v>139</v>
      </c>
      <c r="D135" s="0" t="s">
        <v>440</v>
      </c>
      <c r="E135" s="0" t="s">
        <v>223</v>
      </c>
      <c r="F135" s="0">
        <v>0</v>
      </c>
      <c r="G135" s="0" t="s">
        <v>106</v>
      </c>
      <c r="H135" s="0">
        <v>0</v>
      </c>
      <c r="I135" s="0">
        <v>0</v>
      </c>
      <c r="J135" s="0">
        <v>0</v>
      </c>
      <c r="K135" s="0">
        <v>0</v>
      </c>
      <c r="L135" s="0">
        <v>0</v>
      </c>
      <c r="M135" s="0">
        <v>0</v>
      </c>
      <c r="N135" s="0" t="b">
        <v>0</v>
      </c>
      <c r="O135" s="2">
        <v>44613.583333333336</v>
      </c>
      <c r="P135" s="2">
        <v>44613.625</v>
      </c>
      <c r="Q135" s="2">
        <v>44613.208333333336</v>
      </c>
      <c r="R135" s="2">
        <v>44613.25</v>
      </c>
      <c r="S135" s="0">
        <v>60</v>
      </c>
      <c r="T135" s="0">
        <v>12</v>
      </c>
      <c r="U135" s="0">
        <v>35</v>
      </c>
      <c r="V135" s="0">
        <v>288</v>
      </c>
      <c r="W135" s="1">
        <f>=HYPERLINK("10.175.1.14\MWEB.12\BT\EntityDetails.10.175.1.14.MWEB.12.-newsplus-re.288.xlsx", "&lt;Detail&gt;")</f>
      </c>
      <c r="X135" s="1">
        <f>=HYPERLINK("10.175.1.14\MWEB.12\BT\MetricGraphs.BT.10.175.1.14.MWEB.12.xlsx", "&lt;Metrics&gt;")</f>
      </c>
      <c r="Y135" s="1">
        <f>=HYPERLINK("10.175.1.14\MWEB.12\BT\FlameGraph.BT.10.175.1.14.MWEB.12.-newsplus-re.288.svg", "&lt;FlGraph&gt;")</f>
      </c>
      <c r="Z135" s="1">
        <f>=HYPERLINK("10.175.1.14\MWEB.12\BT\FlameChart.BT.10.175.1.14.MWEB.12.-newsplus-re.288.svg", "&lt;FlChart&gt;")</f>
      </c>
      <c r="AA135" s="0" t="s">
        <v>107</v>
      </c>
      <c r="AB135" s="0" t="s">
        <v>108</v>
      </c>
      <c r="AC135" s="0" t="s">
        <v>142</v>
      </c>
      <c r="AD135" s="0" t="s">
        <v>441</v>
      </c>
      <c r="AE135" s="0" t="s">
        <v>109</v>
      </c>
    </row>
    <row r="136">
      <c r="A136" s="0" t="s">
        <v>28</v>
      </c>
      <c r="B136" s="0" t="s">
        <v>30</v>
      </c>
      <c r="C136" s="0" t="s">
        <v>139</v>
      </c>
      <c r="D136" s="0" t="s">
        <v>442</v>
      </c>
      <c r="E136" s="0" t="s">
        <v>223</v>
      </c>
      <c r="F136" s="0">
        <v>0</v>
      </c>
      <c r="G136" s="0" t="s">
        <v>106</v>
      </c>
      <c r="H136" s="0">
        <v>0</v>
      </c>
      <c r="I136" s="0">
        <v>0</v>
      </c>
      <c r="J136" s="0">
        <v>0</v>
      </c>
      <c r="K136" s="0">
        <v>0</v>
      </c>
      <c r="L136" s="0">
        <v>0</v>
      </c>
      <c r="M136" s="0">
        <v>0</v>
      </c>
      <c r="N136" s="0" t="b">
        <v>0</v>
      </c>
      <c r="O136" s="2">
        <v>44613.583333333336</v>
      </c>
      <c r="P136" s="2">
        <v>44613.625</v>
      </c>
      <c r="Q136" s="2">
        <v>44613.208333333336</v>
      </c>
      <c r="R136" s="2">
        <v>44613.25</v>
      </c>
      <c r="S136" s="0">
        <v>60</v>
      </c>
      <c r="T136" s="0">
        <v>12</v>
      </c>
      <c r="U136" s="0">
        <v>35</v>
      </c>
      <c r="V136" s="0">
        <v>407</v>
      </c>
      <c r="W136" s="1">
        <f>=HYPERLINK("10.175.1.14\MWEB.12\BT\EntityDetails.10.175.1.14.MWEB.12.-newsplus-rw.407.xlsx", "&lt;Detail&gt;")</f>
      </c>
      <c r="X136" s="1">
        <f>=HYPERLINK("10.175.1.14\MWEB.12\BT\MetricGraphs.BT.10.175.1.14.MWEB.12.xlsx", "&lt;Metrics&gt;")</f>
      </c>
      <c r="Y136" s="1">
        <f>=HYPERLINK("10.175.1.14\MWEB.12\BT\FlameGraph.BT.10.175.1.14.MWEB.12.-newsplus-rw.407.svg", "&lt;FlGraph&gt;")</f>
      </c>
      <c r="Z136" s="1">
        <f>=HYPERLINK("10.175.1.14\MWEB.12\BT\FlameChart.BT.10.175.1.14.MWEB.12.-newsplus-rw.407.svg", "&lt;FlChart&gt;")</f>
      </c>
      <c r="AA136" s="0" t="s">
        <v>107</v>
      </c>
      <c r="AB136" s="0" t="s">
        <v>108</v>
      </c>
      <c r="AC136" s="0" t="s">
        <v>142</v>
      </c>
      <c r="AD136" s="0" t="s">
        <v>443</v>
      </c>
      <c r="AE136" s="0" t="s">
        <v>109</v>
      </c>
    </row>
    <row r="137">
      <c r="A137" s="0" t="s">
        <v>28</v>
      </c>
      <c r="B137" s="0" t="s">
        <v>30</v>
      </c>
      <c r="C137" s="0" t="s">
        <v>161</v>
      </c>
      <c r="D137" s="0" t="s">
        <v>442</v>
      </c>
      <c r="E137" s="0" t="s">
        <v>223</v>
      </c>
      <c r="F137" s="0">
        <v>0</v>
      </c>
      <c r="G137" s="0" t="s">
        <v>106</v>
      </c>
      <c r="H137" s="0">
        <v>0</v>
      </c>
      <c r="I137" s="0">
        <v>0</v>
      </c>
      <c r="J137" s="0">
        <v>0</v>
      </c>
      <c r="K137" s="0">
        <v>0</v>
      </c>
      <c r="L137" s="0">
        <v>0</v>
      </c>
      <c r="M137" s="0">
        <v>0</v>
      </c>
      <c r="N137" s="0" t="b">
        <v>0</v>
      </c>
      <c r="O137" s="2">
        <v>44613.583333333336</v>
      </c>
      <c r="P137" s="2">
        <v>44613.625</v>
      </c>
      <c r="Q137" s="2">
        <v>44613.208333333336</v>
      </c>
      <c r="R137" s="2">
        <v>44613.25</v>
      </c>
      <c r="S137" s="0">
        <v>60</v>
      </c>
      <c r="T137" s="0">
        <v>12</v>
      </c>
      <c r="U137" s="0">
        <v>48</v>
      </c>
      <c r="V137" s="0">
        <v>899</v>
      </c>
      <c r="W137" s="1">
        <f>=HYPERLINK("10.175.1.14\MWEB.12\BT\EntityDetails.10.175.1.14.MWEB.12.-newsplus-rw.899.xlsx", "&lt;Detail&gt;")</f>
      </c>
      <c r="X137" s="1">
        <f>=HYPERLINK("10.175.1.14\MWEB.12\BT\MetricGraphs.BT.10.175.1.14.MWEB.12.xlsx", "&lt;Metrics&gt;")</f>
      </c>
      <c r="Y137" s="1">
        <f>=HYPERLINK("10.175.1.14\MWEB.12\BT\FlameGraph.BT.10.175.1.14.MWEB.12.-newsplus-rw.899.svg", "&lt;FlGraph&gt;")</f>
      </c>
      <c r="Z137" s="1">
        <f>=HYPERLINK("10.175.1.14\MWEB.12\BT\FlameChart.BT.10.175.1.14.MWEB.12.-newsplus-rw.899.svg", "&lt;FlChart&gt;")</f>
      </c>
      <c r="AA137" s="0" t="s">
        <v>107</v>
      </c>
      <c r="AB137" s="0" t="s">
        <v>108</v>
      </c>
      <c r="AC137" s="0" t="s">
        <v>162</v>
      </c>
      <c r="AD137" s="0" t="s">
        <v>444</v>
      </c>
      <c r="AE137" s="0" t="s">
        <v>109</v>
      </c>
    </row>
    <row r="138">
      <c r="A138" s="0" t="s">
        <v>28</v>
      </c>
      <c r="B138" s="0" t="s">
        <v>30</v>
      </c>
      <c r="C138" s="0" t="s">
        <v>139</v>
      </c>
      <c r="D138" s="0" t="s">
        <v>445</v>
      </c>
      <c r="E138" s="0" t="s">
        <v>223</v>
      </c>
      <c r="F138" s="0">
        <v>0</v>
      </c>
      <c r="G138" s="0" t="s">
        <v>106</v>
      </c>
      <c r="H138" s="0">
        <v>0</v>
      </c>
      <c r="I138" s="0">
        <v>0</v>
      </c>
      <c r="J138" s="0">
        <v>0</v>
      </c>
      <c r="K138" s="0">
        <v>0</v>
      </c>
      <c r="L138" s="0">
        <v>0</v>
      </c>
      <c r="M138" s="0">
        <v>0</v>
      </c>
      <c r="N138" s="0" t="b">
        <v>0</v>
      </c>
      <c r="O138" s="2">
        <v>44613.583333333336</v>
      </c>
      <c r="P138" s="2">
        <v>44613.625</v>
      </c>
      <c r="Q138" s="2">
        <v>44613.208333333336</v>
      </c>
      <c r="R138" s="2">
        <v>44613.25</v>
      </c>
      <c r="S138" s="0">
        <v>60</v>
      </c>
      <c r="T138" s="0">
        <v>12</v>
      </c>
      <c r="U138" s="0">
        <v>35</v>
      </c>
      <c r="V138" s="0">
        <v>348</v>
      </c>
      <c r="W138" s="1">
        <f>=HYPERLINK("10.175.1.14\MWEB.12\BT\EntityDetails.10.175.1.14.MWEB.12.-newsplus-sa.348.xlsx", "&lt;Detail&gt;")</f>
      </c>
      <c r="X138" s="1">
        <f>=HYPERLINK("10.175.1.14\MWEB.12\BT\MetricGraphs.BT.10.175.1.14.MWEB.12.xlsx", "&lt;Metrics&gt;")</f>
      </c>
      <c r="Y138" s="1">
        <f>=HYPERLINK("10.175.1.14\MWEB.12\BT\FlameGraph.BT.10.175.1.14.MWEB.12.-newsplus-sa.348.svg", "&lt;FlGraph&gt;")</f>
      </c>
      <c r="Z138" s="1">
        <f>=HYPERLINK("10.175.1.14\MWEB.12\BT\FlameChart.BT.10.175.1.14.MWEB.12.-newsplus-sa.348.svg", "&lt;FlChart&gt;")</f>
      </c>
      <c r="AA138" s="0" t="s">
        <v>107</v>
      </c>
      <c r="AB138" s="0" t="s">
        <v>108</v>
      </c>
      <c r="AC138" s="0" t="s">
        <v>142</v>
      </c>
      <c r="AD138" s="0" t="s">
        <v>446</v>
      </c>
      <c r="AE138" s="0" t="s">
        <v>109</v>
      </c>
    </row>
    <row r="139">
      <c r="A139" s="0" t="s">
        <v>28</v>
      </c>
      <c r="B139" s="0" t="s">
        <v>30</v>
      </c>
      <c r="C139" s="0" t="s">
        <v>139</v>
      </c>
      <c r="D139" s="0" t="s">
        <v>447</v>
      </c>
      <c r="E139" s="0" t="s">
        <v>223</v>
      </c>
      <c r="F139" s="0">
        <v>0</v>
      </c>
      <c r="G139" s="0" t="s">
        <v>106</v>
      </c>
      <c r="H139" s="0">
        <v>0</v>
      </c>
      <c r="I139" s="0">
        <v>0</v>
      </c>
      <c r="J139" s="0">
        <v>0</v>
      </c>
      <c r="K139" s="0">
        <v>0</v>
      </c>
      <c r="L139" s="0">
        <v>0</v>
      </c>
      <c r="M139" s="0">
        <v>0</v>
      </c>
      <c r="N139" s="0" t="b">
        <v>0</v>
      </c>
      <c r="O139" s="2">
        <v>44613.583333333336</v>
      </c>
      <c r="P139" s="2">
        <v>44613.625</v>
      </c>
      <c r="Q139" s="2">
        <v>44613.208333333336</v>
      </c>
      <c r="R139" s="2">
        <v>44613.25</v>
      </c>
      <c r="S139" s="0">
        <v>60</v>
      </c>
      <c r="T139" s="0">
        <v>12</v>
      </c>
      <c r="U139" s="0">
        <v>35</v>
      </c>
      <c r="V139" s="0">
        <v>249</v>
      </c>
      <c r="W139" s="1">
        <f>=HYPERLINK("10.175.1.14\MWEB.12\BT\EntityDetails.10.175.1.14.MWEB.12.-newsplus-se.249.xlsx", "&lt;Detail&gt;")</f>
      </c>
      <c r="X139" s="1">
        <f>=HYPERLINK("10.175.1.14\MWEB.12\BT\MetricGraphs.BT.10.175.1.14.MWEB.12.xlsx", "&lt;Metrics&gt;")</f>
      </c>
      <c r="Y139" s="1">
        <f>=HYPERLINK("10.175.1.14\MWEB.12\BT\FlameGraph.BT.10.175.1.14.MWEB.12.-newsplus-se.249.svg", "&lt;FlGraph&gt;")</f>
      </c>
      <c r="Z139" s="1">
        <f>=HYPERLINK("10.175.1.14\MWEB.12\BT\FlameChart.BT.10.175.1.14.MWEB.12.-newsplus-se.249.svg", "&lt;FlChart&gt;")</f>
      </c>
      <c r="AA139" s="0" t="s">
        <v>107</v>
      </c>
      <c r="AB139" s="0" t="s">
        <v>108</v>
      </c>
      <c r="AC139" s="0" t="s">
        <v>142</v>
      </c>
      <c r="AD139" s="0" t="s">
        <v>448</v>
      </c>
      <c r="AE139" s="0" t="s">
        <v>109</v>
      </c>
    </row>
    <row r="140">
      <c r="A140" s="0" t="s">
        <v>28</v>
      </c>
      <c r="B140" s="0" t="s">
        <v>30</v>
      </c>
      <c r="C140" s="0" t="s">
        <v>139</v>
      </c>
      <c r="D140" s="0" t="s">
        <v>449</v>
      </c>
      <c r="E140" s="0" t="s">
        <v>223</v>
      </c>
      <c r="F140" s="0">
        <v>0</v>
      </c>
      <c r="G140" s="0" t="s">
        <v>106</v>
      </c>
      <c r="H140" s="0">
        <v>0</v>
      </c>
      <c r="I140" s="0">
        <v>0</v>
      </c>
      <c r="J140" s="0">
        <v>0</v>
      </c>
      <c r="K140" s="0">
        <v>0</v>
      </c>
      <c r="L140" s="0">
        <v>0</v>
      </c>
      <c r="M140" s="0">
        <v>0</v>
      </c>
      <c r="N140" s="0" t="b">
        <v>0</v>
      </c>
      <c r="O140" s="2">
        <v>44613.583333333336</v>
      </c>
      <c r="P140" s="2">
        <v>44613.625</v>
      </c>
      <c r="Q140" s="2">
        <v>44613.208333333336</v>
      </c>
      <c r="R140" s="2">
        <v>44613.25</v>
      </c>
      <c r="S140" s="0">
        <v>60</v>
      </c>
      <c r="T140" s="0">
        <v>12</v>
      </c>
      <c r="U140" s="0">
        <v>35</v>
      </c>
      <c r="V140" s="0">
        <v>294</v>
      </c>
      <c r="W140" s="1">
        <f>=HYPERLINK("10.175.1.14\MWEB.12\BT\EntityDetails.10.175.1.14.MWEB.12.-newsplus-se.294.xlsx", "&lt;Detail&gt;")</f>
      </c>
      <c r="X140" s="1">
        <f>=HYPERLINK("10.175.1.14\MWEB.12\BT\MetricGraphs.BT.10.175.1.14.MWEB.12.xlsx", "&lt;Metrics&gt;")</f>
      </c>
      <c r="Y140" s="1">
        <f>=HYPERLINK("10.175.1.14\MWEB.12\BT\FlameGraph.BT.10.175.1.14.MWEB.12.-newsplus-se.294.svg", "&lt;FlGraph&gt;")</f>
      </c>
      <c r="Z140" s="1">
        <f>=HYPERLINK("10.175.1.14\MWEB.12\BT\FlameChart.BT.10.175.1.14.MWEB.12.-newsplus-se.294.svg", "&lt;FlChart&gt;")</f>
      </c>
      <c r="AA140" s="0" t="s">
        <v>107</v>
      </c>
      <c r="AB140" s="0" t="s">
        <v>108</v>
      </c>
      <c r="AC140" s="0" t="s">
        <v>142</v>
      </c>
      <c r="AD140" s="0" t="s">
        <v>450</v>
      </c>
      <c r="AE140" s="0" t="s">
        <v>109</v>
      </c>
    </row>
    <row r="141">
      <c r="A141" s="0" t="s">
        <v>28</v>
      </c>
      <c r="B141" s="0" t="s">
        <v>30</v>
      </c>
      <c r="C141" s="0" t="s">
        <v>161</v>
      </c>
      <c r="D141" s="0" t="s">
        <v>449</v>
      </c>
      <c r="E141" s="0" t="s">
        <v>223</v>
      </c>
      <c r="F141" s="0">
        <v>0</v>
      </c>
      <c r="G141" s="0" t="s">
        <v>106</v>
      </c>
      <c r="H141" s="0">
        <v>0</v>
      </c>
      <c r="I141" s="0">
        <v>0</v>
      </c>
      <c r="J141" s="0">
        <v>0</v>
      </c>
      <c r="K141" s="0">
        <v>0</v>
      </c>
      <c r="L141" s="0">
        <v>0</v>
      </c>
      <c r="M141" s="0">
        <v>0</v>
      </c>
      <c r="N141" s="0" t="b">
        <v>0</v>
      </c>
      <c r="O141" s="2">
        <v>44613.583333333336</v>
      </c>
      <c r="P141" s="2">
        <v>44613.625</v>
      </c>
      <c r="Q141" s="2">
        <v>44613.208333333336</v>
      </c>
      <c r="R141" s="2">
        <v>44613.25</v>
      </c>
      <c r="S141" s="0">
        <v>60</v>
      </c>
      <c r="T141" s="0">
        <v>12</v>
      </c>
      <c r="U141" s="0">
        <v>48</v>
      </c>
      <c r="V141" s="0">
        <v>723</v>
      </c>
      <c r="W141" s="1">
        <f>=HYPERLINK("10.175.1.14\MWEB.12\BT\EntityDetails.10.175.1.14.MWEB.12.-newsplus-se.723.xlsx", "&lt;Detail&gt;")</f>
      </c>
      <c r="X141" s="1">
        <f>=HYPERLINK("10.175.1.14\MWEB.12\BT\MetricGraphs.BT.10.175.1.14.MWEB.12.xlsx", "&lt;Metrics&gt;")</f>
      </c>
      <c r="Y141" s="1">
        <f>=HYPERLINK("10.175.1.14\MWEB.12\BT\FlameGraph.BT.10.175.1.14.MWEB.12.-newsplus-se.723.svg", "&lt;FlGraph&gt;")</f>
      </c>
      <c r="Z141" s="1">
        <f>=HYPERLINK("10.175.1.14\MWEB.12\BT\FlameChart.BT.10.175.1.14.MWEB.12.-newsplus-se.723.svg", "&lt;FlChart&gt;")</f>
      </c>
      <c r="AA141" s="0" t="s">
        <v>107</v>
      </c>
      <c r="AB141" s="0" t="s">
        <v>108</v>
      </c>
      <c r="AC141" s="0" t="s">
        <v>162</v>
      </c>
      <c r="AD141" s="0" t="s">
        <v>451</v>
      </c>
      <c r="AE141" s="0" t="s">
        <v>109</v>
      </c>
    </row>
    <row r="142">
      <c r="A142" s="0" t="s">
        <v>28</v>
      </c>
      <c r="B142" s="0" t="s">
        <v>30</v>
      </c>
      <c r="C142" s="0" t="s">
        <v>139</v>
      </c>
      <c r="D142" s="0" t="s">
        <v>452</v>
      </c>
      <c r="E142" s="0" t="s">
        <v>223</v>
      </c>
      <c r="F142" s="0">
        <v>0</v>
      </c>
      <c r="G142" s="0" t="s">
        <v>106</v>
      </c>
      <c r="H142" s="0">
        <v>0</v>
      </c>
      <c r="I142" s="0">
        <v>0</v>
      </c>
      <c r="J142" s="0">
        <v>0</v>
      </c>
      <c r="K142" s="0">
        <v>0</v>
      </c>
      <c r="L142" s="0">
        <v>0</v>
      </c>
      <c r="M142" s="0">
        <v>0</v>
      </c>
      <c r="N142" s="0" t="b">
        <v>0</v>
      </c>
      <c r="O142" s="2">
        <v>44613.583333333336</v>
      </c>
      <c r="P142" s="2">
        <v>44613.625</v>
      </c>
      <c r="Q142" s="2">
        <v>44613.208333333336</v>
      </c>
      <c r="R142" s="2">
        <v>44613.25</v>
      </c>
      <c r="S142" s="0">
        <v>60</v>
      </c>
      <c r="T142" s="0">
        <v>12</v>
      </c>
      <c r="U142" s="0">
        <v>35</v>
      </c>
      <c r="V142" s="0">
        <v>121</v>
      </c>
      <c r="W142" s="1">
        <f>=HYPERLINK("10.175.1.14\MWEB.12\BT\EntityDetails.10.175.1.14.MWEB.12.-newsplus-sh.121.xlsx", "&lt;Detail&gt;")</f>
      </c>
      <c r="X142" s="1">
        <f>=HYPERLINK("10.175.1.14\MWEB.12\BT\MetricGraphs.BT.10.175.1.14.MWEB.12.xlsx", "&lt;Metrics&gt;")</f>
      </c>
      <c r="Y142" s="1">
        <f>=HYPERLINK("10.175.1.14\MWEB.12\BT\FlameGraph.BT.10.175.1.14.MWEB.12.-newsplus-sh.121.svg", "&lt;FlGraph&gt;")</f>
      </c>
      <c r="Z142" s="1">
        <f>=HYPERLINK("10.175.1.14\MWEB.12\BT\FlameChart.BT.10.175.1.14.MWEB.12.-newsplus-sh.121.svg", "&lt;FlChart&gt;")</f>
      </c>
      <c r="AA142" s="0" t="s">
        <v>107</v>
      </c>
      <c r="AB142" s="0" t="s">
        <v>108</v>
      </c>
      <c r="AC142" s="0" t="s">
        <v>142</v>
      </c>
      <c r="AD142" s="0" t="s">
        <v>453</v>
      </c>
      <c r="AE142" s="0" t="s">
        <v>109</v>
      </c>
    </row>
    <row r="143">
      <c r="A143" s="0" t="s">
        <v>28</v>
      </c>
      <c r="B143" s="0" t="s">
        <v>30</v>
      </c>
      <c r="C143" s="0" t="s">
        <v>161</v>
      </c>
      <c r="D143" s="0" t="s">
        <v>452</v>
      </c>
      <c r="E143" s="0" t="s">
        <v>223</v>
      </c>
      <c r="F143" s="0">
        <v>0</v>
      </c>
      <c r="G143" s="0" t="s">
        <v>106</v>
      </c>
      <c r="H143" s="0">
        <v>0</v>
      </c>
      <c r="I143" s="0">
        <v>0</v>
      </c>
      <c r="J143" s="0">
        <v>0</v>
      </c>
      <c r="K143" s="0">
        <v>0</v>
      </c>
      <c r="L143" s="0">
        <v>0</v>
      </c>
      <c r="M143" s="0">
        <v>0</v>
      </c>
      <c r="N143" s="0" t="b">
        <v>0</v>
      </c>
      <c r="O143" s="2">
        <v>44613.583333333336</v>
      </c>
      <c r="P143" s="2">
        <v>44613.625</v>
      </c>
      <c r="Q143" s="2">
        <v>44613.208333333336</v>
      </c>
      <c r="R143" s="2">
        <v>44613.25</v>
      </c>
      <c r="S143" s="0">
        <v>60</v>
      </c>
      <c r="T143" s="0">
        <v>12</v>
      </c>
      <c r="U143" s="0">
        <v>48</v>
      </c>
      <c r="V143" s="0">
        <v>902</v>
      </c>
      <c r="W143" s="1">
        <f>=HYPERLINK("10.175.1.14\MWEB.12\BT\EntityDetails.10.175.1.14.MWEB.12.-newsplus-sh.902.xlsx", "&lt;Detail&gt;")</f>
      </c>
      <c r="X143" s="1">
        <f>=HYPERLINK("10.175.1.14\MWEB.12\BT\MetricGraphs.BT.10.175.1.14.MWEB.12.xlsx", "&lt;Metrics&gt;")</f>
      </c>
      <c r="Y143" s="1">
        <f>=HYPERLINK("10.175.1.14\MWEB.12\BT\FlameGraph.BT.10.175.1.14.MWEB.12.-newsplus-sh.902.svg", "&lt;FlGraph&gt;")</f>
      </c>
      <c r="Z143" s="1">
        <f>=HYPERLINK("10.175.1.14\MWEB.12\BT\FlameChart.BT.10.175.1.14.MWEB.12.-newsplus-sh.902.svg", "&lt;FlChart&gt;")</f>
      </c>
      <c r="AA143" s="0" t="s">
        <v>107</v>
      </c>
      <c r="AB143" s="0" t="s">
        <v>108</v>
      </c>
      <c r="AC143" s="0" t="s">
        <v>162</v>
      </c>
      <c r="AD143" s="0" t="s">
        <v>454</v>
      </c>
      <c r="AE143" s="0" t="s">
        <v>109</v>
      </c>
    </row>
    <row r="144">
      <c r="A144" s="0" t="s">
        <v>28</v>
      </c>
      <c r="B144" s="0" t="s">
        <v>30</v>
      </c>
      <c r="C144" s="0" t="s">
        <v>139</v>
      </c>
      <c r="D144" s="0" t="s">
        <v>455</v>
      </c>
      <c r="E144" s="0" t="s">
        <v>223</v>
      </c>
      <c r="F144" s="0">
        <v>0</v>
      </c>
      <c r="G144" s="0" t="s">
        <v>106</v>
      </c>
      <c r="H144" s="0">
        <v>0</v>
      </c>
      <c r="I144" s="0">
        <v>0</v>
      </c>
      <c r="J144" s="0">
        <v>0</v>
      </c>
      <c r="K144" s="0">
        <v>0</v>
      </c>
      <c r="L144" s="0">
        <v>0</v>
      </c>
      <c r="M144" s="0">
        <v>0</v>
      </c>
      <c r="N144" s="0" t="b">
        <v>0</v>
      </c>
      <c r="O144" s="2">
        <v>44613.583333333336</v>
      </c>
      <c r="P144" s="2">
        <v>44613.625</v>
      </c>
      <c r="Q144" s="2">
        <v>44613.208333333336</v>
      </c>
      <c r="R144" s="2">
        <v>44613.25</v>
      </c>
      <c r="S144" s="0">
        <v>60</v>
      </c>
      <c r="T144" s="0">
        <v>12</v>
      </c>
      <c r="U144" s="0">
        <v>35</v>
      </c>
      <c r="V144" s="0">
        <v>252</v>
      </c>
      <c r="W144" s="1">
        <f>=HYPERLINK("10.175.1.14\MWEB.12\BT\EntityDetails.10.175.1.14.MWEB.12.-newsplus-sh.252.xlsx", "&lt;Detail&gt;")</f>
      </c>
      <c r="X144" s="1">
        <f>=HYPERLINK("10.175.1.14\MWEB.12\BT\MetricGraphs.BT.10.175.1.14.MWEB.12.xlsx", "&lt;Metrics&gt;")</f>
      </c>
      <c r="Y144" s="1">
        <f>=HYPERLINK("10.175.1.14\MWEB.12\BT\FlameGraph.BT.10.175.1.14.MWEB.12.-newsplus-sh.252.svg", "&lt;FlGraph&gt;")</f>
      </c>
      <c r="Z144" s="1">
        <f>=HYPERLINK("10.175.1.14\MWEB.12\BT\FlameChart.BT.10.175.1.14.MWEB.12.-newsplus-sh.252.svg", "&lt;FlChart&gt;")</f>
      </c>
      <c r="AA144" s="0" t="s">
        <v>107</v>
      </c>
      <c r="AB144" s="0" t="s">
        <v>108</v>
      </c>
      <c r="AC144" s="0" t="s">
        <v>142</v>
      </c>
      <c r="AD144" s="0" t="s">
        <v>456</v>
      </c>
      <c r="AE144" s="0" t="s">
        <v>109</v>
      </c>
    </row>
    <row r="145">
      <c r="A145" s="0" t="s">
        <v>28</v>
      </c>
      <c r="B145" s="0" t="s">
        <v>30</v>
      </c>
      <c r="C145" s="0" t="s">
        <v>139</v>
      </c>
      <c r="D145" s="0" t="s">
        <v>457</v>
      </c>
      <c r="E145" s="0" t="s">
        <v>223</v>
      </c>
      <c r="F145" s="0">
        <v>0</v>
      </c>
      <c r="G145" s="0" t="s">
        <v>106</v>
      </c>
      <c r="H145" s="0">
        <v>0</v>
      </c>
      <c r="I145" s="0">
        <v>0</v>
      </c>
      <c r="J145" s="0">
        <v>0</v>
      </c>
      <c r="K145" s="0">
        <v>0</v>
      </c>
      <c r="L145" s="0">
        <v>0</v>
      </c>
      <c r="M145" s="0">
        <v>0</v>
      </c>
      <c r="N145" s="0" t="b">
        <v>0</v>
      </c>
      <c r="O145" s="2">
        <v>44613.583333333336</v>
      </c>
      <c r="P145" s="2">
        <v>44613.625</v>
      </c>
      <c r="Q145" s="2">
        <v>44613.208333333336</v>
      </c>
      <c r="R145" s="2">
        <v>44613.25</v>
      </c>
      <c r="S145" s="0">
        <v>60</v>
      </c>
      <c r="T145" s="0">
        <v>12</v>
      </c>
      <c r="U145" s="0">
        <v>35</v>
      </c>
      <c r="V145" s="0">
        <v>291</v>
      </c>
      <c r="W145" s="1">
        <f>=HYPERLINK("10.175.1.14\MWEB.12\BT\EntityDetails.10.175.1.14.MWEB.12.-newsplus-sh.291.xlsx", "&lt;Detail&gt;")</f>
      </c>
      <c r="X145" s="1">
        <f>=HYPERLINK("10.175.1.14\MWEB.12\BT\MetricGraphs.BT.10.175.1.14.MWEB.12.xlsx", "&lt;Metrics&gt;")</f>
      </c>
      <c r="Y145" s="1">
        <f>=HYPERLINK("10.175.1.14\MWEB.12\BT\FlameGraph.BT.10.175.1.14.MWEB.12.-newsplus-sh.291.svg", "&lt;FlGraph&gt;")</f>
      </c>
      <c r="Z145" s="1">
        <f>=HYPERLINK("10.175.1.14\MWEB.12\BT\FlameChart.BT.10.175.1.14.MWEB.12.-newsplus-sh.291.svg", "&lt;FlChart&gt;")</f>
      </c>
      <c r="AA145" s="0" t="s">
        <v>107</v>
      </c>
      <c r="AB145" s="0" t="s">
        <v>108</v>
      </c>
      <c r="AC145" s="0" t="s">
        <v>142</v>
      </c>
      <c r="AD145" s="0" t="s">
        <v>458</v>
      </c>
      <c r="AE145" s="0" t="s">
        <v>109</v>
      </c>
    </row>
    <row r="146">
      <c r="A146" s="0" t="s">
        <v>28</v>
      </c>
      <c r="B146" s="0" t="s">
        <v>30</v>
      </c>
      <c r="C146" s="0" t="s">
        <v>139</v>
      </c>
      <c r="D146" s="0" t="s">
        <v>459</v>
      </c>
      <c r="E146" s="0" t="s">
        <v>223</v>
      </c>
      <c r="F146" s="0">
        <v>0</v>
      </c>
      <c r="G146" s="0" t="s">
        <v>106</v>
      </c>
      <c r="H146" s="0">
        <v>0</v>
      </c>
      <c r="I146" s="0">
        <v>0</v>
      </c>
      <c r="J146" s="0">
        <v>0</v>
      </c>
      <c r="K146" s="0">
        <v>0</v>
      </c>
      <c r="L146" s="0">
        <v>0</v>
      </c>
      <c r="M146" s="0">
        <v>0</v>
      </c>
      <c r="N146" s="0" t="b">
        <v>0</v>
      </c>
      <c r="O146" s="2">
        <v>44613.583333333336</v>
      </c>
      <c r="P146" s="2">
        <v>44613.625</v>
      </c>
      <c r="Q146" s="2">
        <v>44613.208333333336</v>
      </c>
      <c r="R146" s="2">
        <v>44613.25</v>
      </c>
      <c r="S146" s="0">
        <v>60</v>
      </c>
      <c r="T146" s="0">
        <v>12</v>
      </c>
      <c r="U146" s="0">
        <v>35</v>
      </c>
      <c r="V146" s="0">
        <v>414</v>
      </c>
      <c r="W146" s="1">
        <f>=HYPERLINK("10.175.1.14\MWEB.12\BT\EntityDetails.10.175.1.14.MWEB.12.-newsplus-sy.414.xlsx", "&lt;Detail&gt;")</f>
      </c>
      <c r="X146" s="1">
        <f>=HYPERLINK("10.175.1.14\MWEB.12\BT\MetricGraphs.BT.10.175.1.14.MWEB.12.xlsx", "&lt;Metrics&gt;")</f>
      </c>
      <c r="Y146" s="1">
        <f>=HYPERLINK("10.175.1.14\MWEB.12\BT\FlameGraph.BT.10.175.1.14.MWEB.12.-newsplus-sy.414.svg", "&lt;FlGraph&gt;")</f>
      </c>
      <c r="Z146" s="1">
        <f>=HYPERLINK("10.175.1.14\MWEB.12\BT\FlameChart.BT.10.175.1.14.MWEB.12.-newsplus-sy.414.svg", "&lt;FlChart&gt;")</f>
      </c>
      <c r="AA146" s="0" t="s">
        <v>107</v>
      </c>
      <c r="AB146" s="0" t="s">
        <v>108</v>
      </c>
      <c r="AC146" s="0" t="s">
        <v>142</v>
      </c>
      <c r="AD146" s="0" t="s">
        <v>460</v>
      </c>
      <c r="AE146" s="0" t="s">
        <v>109</v>
      </c>
    </row>
    <row r="147">
      <c r="A147" s="0" t="s">
        <v>28</v>
      </c>
      <c r="B147" s="0" t="s">
        <v>30</v>
      </c>
      <c r="C147" s="0" t="s">
        <v>139</v>
      </c>
      <c r="D147" s="0" t="s">
        <v>461</v>
      </c>
      <c r="E147" s="0" t="s">
        <v>223</v>
      </c>
      <c r="F147" s="0">
        <v>0</v>
      </c>
      <c r="G147" s="0" t="s">
        <v>106</v>
      </c>
      <c r="H147" s="0">
        <v>0</v>
      </c>
      <c r="I147" s="0">
        <v>0</v>
      </c>
      <c r="J147" s="0">
        <v>0</v>
      </c>
      <c r="K147" s="0">
        <v>0</v>
      </c>
      <c r="L147" s="0">
        <v>0</v>
      </c>
      <c r="M147" s="0">
        <v>0</v>
      </c>
      <c r="N147" s="0" t="b">
        <v>0</v>
      </c>
      <c r="O147" s="2">
        <v>44613.583333333336</v>
      </c>
      <c r="P147" s="2">
        <v>44613.625</v>
      </c>
      <c r="Q147" s="2">
        <v>44613.208333333336</v>
      </c>
      <c r="R147" s="2">
        <v>44613.25</v>
      </c>
      <c r="S147" s="0">
        <v>60</v>
      </c>
      <c r="T147" s="0">
        <v>12</v>
      </c>
      <c r="U147" s="0">
        <v>35</v>
      </c>
      <c r="V147" s="0">
        <v>332</v>
      </c>
      <c r="W147" s="1">
        <f>=HYPERLINK("10.175.1.14\MWEB.12\BT\EntityDetails.10.175.1.14.MWEB.12.-newsplus-te.332.xlsx", "&lt;Detail&gt;")</f>
      </c>
      <c r="X147" s="1">
        <f>=HYPERLINK("10.175.1.14\MWEB.12\BT\MetricGraphs.BT.10.175.1.14.MWEB.12.xlsx", "&lt;Metrics&gt;")</f>
      </c>
      <c r="Y147" s="1">
        <f>=HYPERLINK("10.175.1.14\MWEB.12\BT\FlameGraph.BT.10.175.1.14.MWEB.12.-newsplus-te.332.svg", "&lt;FlGraph&gt;")</f>
      </c>
      <c r="Z147" s="1">
        <f>=HYPERLINK("10.175.1.14\MWEB.12\BT\FlameChart.BT.10.175.1.14.MWEB.12.-newsplus-te.332.svg", "&lt;FlChart&gt;")</f>
      </c>
      <c r="AA147" s="0" t="s">
        <v>107</v>
      </c>
      <c r="AB147" s="0" t="s">
        <v>108</v>
      </c>
      <c r="AC147" s="0" t="s">
        <v>142</v>
      </c>
      <c r="AD147" s="0" t="s">
        <v>462</v>
      </c>
      <c r="AE147" s="0" t="s">
        <v>109</v>
      </c>
    </row>
    <row r="148">
      <c r="A148" s="0" t="s">
        <v>28</v>
      </c>
      <c r="B148" s="0" t="s">
        <v>30</v>
      </c>
      <c r="C148" s="0" t="s">
        <v>139</v>
      </c>
      <c r="D148" s="0" t="s">
        <v>463</v>
      </c>
      <c r="E148" s="0" t="s">
        <v>223</v>
      </c>
      <c r="F148" s="0">
        <v>0</v>
      </c>
      <c r="G148" s="0" t="s">
        <v>106</v>
      </c>
      <c r="H148" s="0">
        <v>0</v>
      </c>
      <c r="I148" s="0">
        <v>0</v>
      </c>
      <c r="J148" s="0">
        <v>0</v>
      </c>
      <c r="K148" s="0">
        <v>0</v>
      </c>
      <c r="L148" s="0">
        <v>0</v>
      </c>
      <c r="M148" s="0">
        <v>0</v>
      </c>
      <c r="N148" s="0" t="b">
        <v>0</v>
      </c>
      <c r="O148" s="2">
        <v>44613.583333333336</v>
      </c>
      <c r="P148" s="2">
        <v>44613.625</v>
      </c>
      <c r="Q148" s="2">
        <v>44613.208333333336</v>
      </c>
      <c r="R148" s="2">
        <v>44613.25</v>
      </c>
      <c r="S148" s="0">
        <v>60</v>
      </c>
      <c r="T148" s="0">
        <v>12</v>
      </c>
      <c r="U148" s="0">
        <v>35</v>
      </c>
      <c r="V148" s="0">
        <v>345</v>
      </c>
      <c r="W148" s="1">
        <f>=HYPERLINK("10.175.1.14\MWEB.12\BT\EntityDetails.10.175.1.14.MWEB.12.-newsplus-ts.345.xlsx", "&lt;Detail&gt;")</f>
      </c>
      <c r="X148" s="1">
        <f>=HYPERLINK("10.175.1.14\MWEB.12\BT\MetricGraphs.BT.10.175.1.14.MWEB.12.xlsx", "&lt;Metrics&gt;")</f>
      </c>
      <c r="Y148" s="1">
        <f>=HYPERLINK("10.175.1.14\MWEB.12\BT\FlameGraph.BT.10.175.1.14.MWEB.12.-newsplus-ts.345.svg", "&lt;FlGraph&gt;")</f>
      </c>
      <c r="Z148" s="1">
        <f>=HYPERLINK("10.175.1.14\MWEB.12\BT\FlameChart.BT.10.175.1.14.MWEB.12.-newsplus-ts.345.svg", "&lt;FlChart&gt;")</f>
      </c>
      <c r="AA148" s="0" t="s">
        <v>107</v>
      </c>
      <c r="AB148" s="0" t="s">
        <v>108</v>
      </c>
      <c r="AC148" s="0" t="s">
        <v>142</v>
      </c>
      <c r="AD148" s="0" t="s">
        <v>464</v>
      </c>
      <c r="AE148" s="0" t="s">
        <v>109</v>
      </c>
    </row>
    <row r="149">
      <c r="A149" s="0" t="s">
        <v>28</v>
      </c>
      <c r="B149" s="0" t="s">
        <v>30</v>
      </c>
      <c r="C149" s="0" t="s">
        <v>161</v>
      </c>
      <c r="D149" s="0" t="s">
        <v>463</v>
      </c>
      <c r="E149" s="0" t="s">
        <v>223</v>
      </c>
      <c r="F149" s="0">
        <v>0</v>
      </c>
      <c r="G149" s="0" t="s">
        <v>106</v>
      </c>
      <c r="H149" s="0">
        <v>0</v>
      </c>
      <c r="I149" s="0">
        <v>0</v>
      </c>
      <c r="J149" s="0">
        <v>0</v>
      </c>
      <c r="K149" s="0">
        <v>0</v>
      </c>
      <c r="L149" s="0">
        <v>0</v>
      </c>
      <c r="M149" s="0">
        <v>0</v>
      </c>
      <c r="N149" s="0" t="b">
        <v>0</v>
      </c>
      <c r="O149" s="2">
        <v>44613.583333333336</v>
      </c>
      <c r="P149" s="2">
        <v>44613.625</v>
      </c>
      <c r="Q149" s="2">
        <v>44613.208333333336</v>
      </c>
      <c r="R149" s="2">
        <v>44613.25</v>
      </c>
      <c r="S149" s="0">
        <v>60</v>
      </c>
      <c r="T149" s="0">
        <v>12</v>
      </c>
      <c r="U149" s="0">
        <v>48</v>
      </c>
      <c r="V149" s="0">
        <v>912</v>
      </c>
      <c r="W149" s="1">
        <f>=HYPERLINK("10.175.1.14\MWEB.12\BT\EntityDetails.10.175.1.14.MWEB.12.-newsplus-ts.912.xlsx", "&lt;Detail&gt;")</f>
      </c>
      <c r="X149" s="1">
        <f>=HYPERLINK("10.175.1.14\MWEB.12\BT\MetricGraphs.BT.10.175.1.14.MWEB.12.xlsx", "&lt;Metrics&gt;")</f>
      </c>
      <c r="Y149" s="1">
        <f>=HYPERLINK("10.175.1.14\MWEB.12\BT\FlameGraph.BT.10.175.1.14.MWEB.12.-newsplus-ts.912.svg", "&lt;FlGraph&gt;")</f>
      </c>
      <c r="Z149" s="1">
        <f>=HYPERLINK("10.175.1.14\MWEB.12\BT\FlameChart.BT.10.175.1.14.MWEB.12.-newsplus-ts.912.svg", "&lt;FlChart&gt;")</f>
      </c>
      <c r="AA149" s="0" t="s">
        <v>107</v>
      </c>
      <c r="AB149" s="0" t="s">
        <v>108</v>
      </c>
      <c r="AC149" s="0" t="s">
        <v>162</v>
      </c>
      <c r="AD149" s="0" t="s">
        <v>465</v>
      </c>
      <c r="AE149" s="0" t="s">
        <v>109</v>
      </c>
    </row>
    <row r="150">
      <c r="A150" s="0" t="s">
        <v>28</v>
      </c>
      <c r="B150" s="0" t="s">
        <v>30</v>
      </c>
      <c r="C150" s="0" t="s">
        <v>139</v>
      </c>
      <c r="D150" s="0" t="s">
        <v>466</v>
      </c>
      <c r="E150" s="0" t="s">
        <v>223</v>
      </c>
      <c r="F150" s="0">
        <v>0</v>
      </c>
      <c r="G150" s="0" t="s">
        <v>106</v>
      </c>
      <c r="H150" s="0">
        <v>0</v>
      </c>
      <c r="I150" s="0">
        <v>0</v>
      </c>
      <c r="J150" s="0">
        <v>0</v>
      </c>
      <c r="K150" s="0">
        <v>0</v>
      </c>
      <c r="L150" s="0">
        <v>0</v>
      </c>
      <c r="M150" s="0">
        <v>0</v>
      </c>
      <c r="N150" s="0" t="b">
        <v>0</v>
      </c>
      <c r="O150" s="2">
        <v>44613.583333333336</v>
      </c>
      <c r="P150" s="2">
        <v>44613.625</v>
      </c>
      <c r="Q150" s="2">
        <v>44613.208333333336</v>
      </c>
      <c r="R150" s="2">
        <v>44613.25</v>
      </c>
      <c r="S150" s="0">
        <v>60</v>
      </c>
      <c r="T150" s="0">
        <v>12</v>
      </c>
      <c r="U150" s="0">
        <v>35</v>
      </c>
      <c r="V150" s="0">
        <v>236</v>
      </c>
      <c r="W150" s="1">
        <f>=HYPERLINK("10.175.1.14\MWEB.12\BT\EntityDetails.10.175.1.14.MWEB.12.-newsplus-va.236.xlsx", "&lt;Detail&gt;")</f>
      </c>
      <c r="X150" s="1">
        <f>=HYPERLINK("10.175.1.14\MWEB.12\BT\MetricGraphs.BT.10.175.1.14.MWEB.12.xlsx", "&lt;Metrics&gt;")</f>
      </c>
      <c r="Y150" s="1">
        <f>=HYPERLINK("10.175.1.14\MWEB.12\BT\FlameGraph.BT.10.175.1.14.MWEB.12.-newsplus-va.236.svg", "&lt;FlGraph&gt;")</f>
      </c>
      <c r="Z150" s="1">
        <f>=HYPERLINK("10.175.1.14\MWEB.12\BT\FlameChart.BT.10.175.1.14.MWEB.12.-newsplus-va.236.svg", "&lt;FlChart&gt;")</f>
      </c>
      <c r="AA150" s="0" t="s">
        <v>107</v>
      </c>
      <c r="AB150" s="0" t="s">
        <v>108</v>
      </c>
      <c r="AC150" s="0" t="s">
        <v>142</v>
      </c>
      <c r="AD150" s="0" t="s">
        <v>467</v>
      </c>
      <c r="AE150" s="0" t="s">
        <v>109</v>
      </c>
    </row>
    <row r="151">
      <c r="A151" s="0" t="s">
        <v>28</v>
      </c>
      <c r="B151" s="0" t="s">
        <v>30</v>
      </c>
      <c r="C151" s="0" t="s">
        <v>161</v>
      </c>
      <c r="D151" s="0" t="s">
        <v>466</v>
      </c>
      <c r="E151" s="0" t="s">
        <v>223</v>
      </c>
      <c r="F151" s="0">
        <v>0</v>
      </c>
      <c r="G151" s="0" t="s">
        <v>106</v>
      </c>
      <c r="H151" s="0">
        <v>0</v>
      </c>
      <c r="I151" s="0">
        <v>0</v>
      </c>
      <c r="J151" s="0">
        <v>0</v>
      </c>
      <c r="K151" s="0">
        <v>0</v>
      </c>
      <c r="L151" s="0">
        <v>0</v>
      </c>
      <c r="M151" s="0">
        <v>0</v>
      </c>
      <c r="N151" s="0" t="b">
        <v>0</v>
      </c>
      <c r="O151" s="2">
        <v>44613.583333333336</v>
      </c>
      <c r="P151" s="2">
        <v>44613.625</v>
      </c>
      <c r="Q151" s="2">
        <v>44613.208333333336</v>
      </c>
      <c r="R151" s="2">
        <v>44613.25</v>
      </c>
      <c r="S151" s="0">
        <v>60</v>
      </c>
      <c r="T151" s="0">
        <v>12</v>
      </c>
      <c r="U151" s="0">
        <v>48</v>
      </c>
      <c r="V151" s="0">
        <v>788</v>
      </c>
      <c r="W151" s="1">
        <f>=HYPERLINK("10.175.1.14\MWEB.12\BT\EntityDetails.10.175.1.14.MWEB.12.-newsplus-va.788.xlsx", "&lt;Detail&gt;")</f>
      </c>
      <c r="X151" s="1">
        <f>=HYPERLINK("10.175.1.14\MWEB.12\BT\MetricGraphs.BT.10.175.1.14.MWEB.12.xlsx", "&lt;Metrics&gt;")</f>
      </c>
      <c r="Y151" s="1">
        <f>=HYPERLINK("10.175.1.14\MWEB.12\BT\FlameGraph.BT.10.175.1.14.MWEB.12.-newsplus-va.788.svg", "&lt;FlGraph&gt;")</f>
      </c>
      <c r="Z151" s="1">
        <f>=HYPERLINK("10.175.1.14\MWEB.12\BT\FlameChart.BT.10.175.1.14.MWEB.12.-newsplus-va.788.svg", "&lt;FlChart&gt;")</f>
      </c>
      <c r="AA151" s="0" t="s">
        <v>107</v>
      </c>
      <c r="AB151" s="0" t="s">
        <v>108</v>
      </c>
      <c r="AC151" s="0" t="s">
        <v>162</v>
      </c>
      <c r="AD151" s="0" t="s">
        <v>468</v>
      </c>
      <c r="AE151" s="0" t="s">
        <v>109</v>
      </c>
    </row>
    <row r="152">
      <c r="A152" s="0" t="s">
        <v>28</v>
      </c>
      <c r="B152" s="0" t="s">
        <v>30</v>
      </c>
      <c r="C152" s="0" t="s">
        <v>139</v>
      </c>
      <c r="D152" s="0" t="s">
        <v>469</v>
      </c>
      <c r="E152" s="0" t="s">
        <v>223</v>
      </c>
      <c r="F152" s="0">
        <v>0</v>
      </c>
      <c r="G152" s="0" t="s">
        <v>106</v>
      </c>
      <c r="H152" s="0">
        <v>0</v>
      </c>
      <c r="I152" s="0">
        <v>0</v>
      </c>
      <c r="J152" s="0">
        <v>0</v>
      </c>
      <c r="K152" s="0">
        <v>0</v>
      </c>
      <c r="L152" s="0">
        <v>0</v>
      </c>
      <c r="M152" s="0">
        <v>0</v>
      </c>
      <c r="N152" s="0" t="b">
        <v>0</v>
      </c>
      <c r="O152" s="2">
        <v>44613.583333333336</v>
      </c>
      <c r="P152" s="2">
        <v>44613.625</v>
      </c>
      <c r="Q152" s="2">
        <v>44613.208333333336</v>
      </c>
      <c r="R152" s="2">
        <v>44613.25</v>
      </c>
      <c r="S152" s="0">
        <v>60</v>
      </c>
      <c r="T152" s="0">
        <v>12</v>
      </c>
      <c r="U152" s="0">
        <v>35</v>
      </c>
      <c r="V152" s="0">
        <v>226</v>
      </c>
      <c r="W152" s="1">
        <f>=HYPERLINK("10.175.1.14\MWEB.12\BT\EntityDetails.10.175.1.14.MWEB.12.-newsplus-vi.226.xlsx", "&lt;Detail&gt;")</f>
      </c>
      <c r="X152" s="1">
        <f>=HYPERLINK("10.175.1.14\MWEB.12\BT\MetricGraphs.BT.10.175.1.14.MWEB.12.xlsx", "&lt;Metrics&gt;")</f>
      </c>
      <c r="Y152" s="1">
        <f>=HYPERLINK("10.175.1.14\MWEB.12\BT\FlameGraph.BT.10.175.1.14.MWEB.12.-newsplus-vi.226.svg", "&lt;FlGraph&gt;")</f>
      </c>
      <c r="Z152" s="1">
        <f>=HYPERLINK("10.175.1.14\MWEB.12\BT\FlameChart.BT.10.175.1.14.MWEB.12.-newsplus-vi.226.svg", "&lt;FlChart&gt;")</f>
      </c>
      <c r="AA152" s="0" t="s">
        <v>107</v>
      </c>
      <c r="AB152" s="0" t="s">
        <v>108</v>
      </c>
      <c r="AC152" s="0" t="s">
        <v>142</v>
      </c>
      <c r="AD152" s="0" t="s">
        <v>470</v>
      </c>
      <c r="AE152" s="0" t="s">
        <v>109</v>
      </c>
    </row>
    <row r="153">
      <c r="A153" s="0" t="s">
        <v>28</v>
      </c>
      <c r="B153" s="0" t="s">
        <v>30</v>
      </c>
      <c r="C153" s="0" t="s">
        <v>139</v>
      </c>
      <c r="D153" s="0" t="s">
        <v>471</v>
      </c>
      <c r="E153" s="0" t="s">
        <v>223</v>
      </c>
      <c r="F153" s="0">
        <v>0</v>
      </c>
      <c r="G153" s="0" t="s">
        <v>106</v>
      </c>
      <c r="H153" s="0">
        <v>0</v>
      </c>
      <c r="I153" s="0">
        <v>0</v>
      </c>
      <c r="J153" s="0">
        <v>0</v>
      </c>
      <c r="K153" s="0">
        <v>0</v>
      </c>
      <c r="L153" s="0">
        <v>0</v>
      </c>
      <c r="M153" s="0">
        <v>0</v>
      </c>
      <c r="N153" s="0" t="b">
        <v>0</v>
      </c>
      <c r="O153" s="2">
        <v>44613.583333333336</v>
      </c>
      <c r="P153" s="2">
        <v>44613.625</v>
      </c>
      <c r="Q153" s="2">
        <v>44613.208333333336</v>
      </c>
      <c r="R153" s="2">
        <v>44613.25</v>
      </c>
      <c r="S153" s="0">
        <v>60</v>
      </c>
      <c r="T153" s="0">
        <v>12</v>
      </c>
      <c r="U153" s="0">
        <v>35</v>
      </c>
      <c r="V153" s="0">
        <v>93</v>
      </c>
      <c r="W153" s="1">
        <f>=HYPERLINK("10.175.1.14\MWEB.12\BT\EntityDetails.10.175.1.14.MWEB.12.-newsplus-vi.93.xlsx", "&lt;Detail&gt;")</f>
      </c>
      <c r="X153" s="1">
        <f>=HYPERLINK("10.175.1.14\MWEB.12\BT\MetricGraphs.BT.10.175.1.14.MWEB.12.xlsx", "&lt;Metrics&gt;")</f>
      </c>
      <c r="Y153" s="1">
        <f>=HYPERLINK("10.175.1.14\MWEB.12\BT\FlameGraph.BT.10.175.1.14.MWEB.12.-newsplus-vi.93.svg", "&lt;FlGraph&gt;")</f>
      </c>
      <c r="Z153" s="1">
        <f>=HYPERLINK("10.175.1.14\MWEB.12\BT\FlameChart.BT.10.175.1.14.MWEB.12.-newsplus-vi.93.svg", "&lt;FlChart&gt;")</f>
      </c>
      <c r="AA153" s="0" t="s">
        <v>107</v>
      </c>
      <c r="AB153" s="0" t="s">
        <v>108</v>
      </c>
      <c r="AC153" s="0" t="s">
        <v>142</v>
      </c>
      <c r="AD153" s="0" t="s">
        <v>472</v>
      </c>
      <c r="AE153" s="0" t="s">
        <v>109</v>
      </c>
    </row>
    <row r="154">
      <c r="A154" s="0" t="s">
        <v>28</v>
      </c>
      <c r="B154" s="0" t="s">
        <v>30</v>
      </c>
      <c r="C154" s="0" t="s">
        <v>161</v>
      </c>
      <c r="D154" s="0" t="s">
        <v>471</v>
      </c>
      <c r="E154" s="0" t="s">
        <v>223</v>
      </c>
      <c r="F154" s="0">
        <v>0</v>
      </c>
      <c r="G154" s="0" t="s">
        <v>106</v>
      </c>
      <c r="H154" s="0">
        <v>0</v>
      </c>
      <c r="I154" s="0">
        <v>0</v>
      </c>
      <c r="J154" s="0">
        <v>0</v>
      </c>
      <c r="K154" s="0">
        <v>0</v>
      </c>
      <c r="L154" s="0">
        <v>0</v>
      </c>
      <c r="M154" s="0">
        <v>0</v>
      </c>
      <c r="N154" s="0" t="b">
        <v>0</v>
      </c>
      <c r="O154" s="2">
        <v>44613.583333333336</v>
      </c>
      <c r="P154" s="2">
        <v>44613.625</v>
      </c>
      <c r="Q154" s="2">
        <v>44613.208333333336</v>
      </c>
      <c r="R154" s="2">
        <v>44613.25</v>
      </c>
      <c r="S154" s="0">
        <v>60</v>
      </c>
      <c r="T154" s="0">
        <v>12</v>
      </c>
      <c r="U154" s="0">
        <v>48</v>
      </c>
      <c r="V154" s="0">
        <v>716</v>
      </c>
      <c r="W154" s="1">
        <f>=HYPERLINK("10.175.1.14\MWEB.12\BT\EntityDetails.10.175.1.14.MWEB.12.-newsplus-vi.716.xlsx", "&lt;Detail&gt;")</f>
      </c>
      <c r="X154" s="1">
        <f>=HYPERLINK("10.175.1.14\MWEB.12\BT\MetricGraphs.BT.10.175.1.14.MWEB.12.xlsx", "&lt;Metrics&gt;")</f>
      </c>
      <c r="Y154" s="1">
        <f>=HYPERLINK("10.175.1.14\MWEB.12\BT\FlameGraph.BT.10.175.1.14.MWEB.12.-newsplus-vi.716.svg", "&lt;FlGraph&gt;")</f>
      </c>
      <c r="Z154" s="1">
        <f>=HYPERLINK("10.175.1.14\MWEB.12\BT\FlameChart.BT.10.175.1.14.MWEB.12.-newsplus-vi.716.svg", "&lt;FlChart&gt;")</f>
      </c>
      <c r="AA154" s="0" t="s">
        <v>107</v>
      </c>
      <c r="AB154" s="0" t="s">
        <v>108</v>
      </c>
      <c r="AC154" s="0" t="s">
        <v>162</v>
      </c>
      <c r="AD154" s="0" t="s">
        <v>473</v>
      </c>
      <c r="AE154" s="0" t="s">
        <v>109</v>
      </c>
    </row>
    <row r="155">
      <c r="A155" s="0" t="s">
        <v>28</v>
      </c>
      <c r="B155" s="0" t="s">
        <v>30</v>
      </c>
      <c r="C155" s="0" t="s">
        <v>139</v>
      </c>
      <c r="D155" s="0" t="s">
        <v>474</v>
      </c>
      <c r="E155" s="0" t="s">
        <v>223</v>
      </c>
      <c r="F155" s="0">
        <v>0</v>
      </c>
      <c r="G155" s="0" t="s">
        <v>106</v>
      </c>
      <c r="H155" s="0">
        <v>0</v>
      </c>
      <c r="I155" s="0">
        <v>0</v>
      </c>
      <c r="J155" s="0">
        <v>0</v>
      </c>
      <c r="K155" s="0">
        <v>0</v>
      </c>
      <c r="L155" s="0">
        <v>0</v>
      </c>
      <c r="M155" s="0">
        <v>0</v>
      </c>
      <c r="N155" s="0" t="b">
        <v>0</v>
      </c>
      <c r="O155" s="2">
        <v>44613.583333333336</v>
      </c>
      <c r="P155" s="2">
        <v>44613.625</v>
      </c>
      <c r="Q155" s="2">
        <v>44613.208333333336</v>
      </c>
      <c r="R155" s="2">
        <v>44613.25</v>
      </c>
      <c r="S155" s="0">
        <v>60</v>
      </c>
      <c r="T155" s="0">
        <v>12</v>
      </c>
      <c r="U155" s="0">
        <v>35</v>
      </c>
      <c r="V155" s="0">
        <v>267</v>
      </c>
      <c r="W155" s="1">
        <f>=HYPERLINK("10.175.1.14\MWEB.12\BT\EntityDetails.10.175.1.14.MWEB.12.-newsplus-vi.267.xlsx", "&lt;Detail&gt;")</f>
      </c>
      <c r="X155" s="1">
        <f>=HYPERLINK("10.175.1.14\MWEB.12\BT\MetricGraphs.BT.10.175.1.14.MWEB.12.xlsx", "&lt;Metrics&gt;")</f>
      </c>
      <c r="Y155" s="1">
        <f>=HYPERLINK("10.175.1.14\MWEB.12\BT\FlameGraph.BT.10.175.1.14.MWEB.12.-newsplus-vi.267.svg", "&lt;FlGraph&gt;")</f>
      </c>
      <c r="Z155" s="1">
        <f>=HYPERLINK("10.175.1.14\MWEB.12\BT\FlameChart.BT.10.175.1.14.MWEB.12.-newsplus-vi.267.svg", "&lt;FlChart&gt;")</f>
      </c>
      <c r="AA155" s="0" t="s">
        <v>107</v>
      </c>
      <c r="AB155" s="0" t="s">
        <v>108</v>
      </c>
      <c r="AC155" s="0" t="s">
        <v>142</v>
      </c>
      <c r="AD155" s="0" t="s">
        <v>475</v>
      </c>
      <c r="AE155" s="0" t="s">
        <v>109</v>
      </c>
    </row>
    <row r="156">
      <c r="A156" s="0" t="s">
        <v>28</v>
      </c>
      <c r="B156" s="0" t="s">
        <v>30</v>
      </c>
      <c r="C156" s="0" t="s">
        <v>139</v>
      </c>
      <c r="D156" s="0" t="s">
        <v>476</v>
      </c>
      <c r="E156" s="0" t="s">
        <v>223</v>
      </c>
      <c r="F156" s="0">
        <v>0</v>
      </c>
      <c r="G156" s="0" t="s">
        <v>106</v>
      </c>
      <c r="H156" s="0">
        <v>0</v>
      </c>
      <c r="I156" s="0">
        <v>0</v>
      </c>
      <c r="J156" s="0">
        <v>0</v>
      </c>
      <c r="K156" s="0">
        <v>0</v>
      </c>
      <c r="L156" s="0">
        <v>0</v>
      </c>
      <c r="M156" s="0">
        <v>0</v>
      </c>
      <c r="N156" s="0" t="b">
        <v>0</v>
      </c>
      <c r="O156" s="2">
        <v>44613.583333333336</v>
      </c>
      <c r="P156" s="2">
        <v>44613.625</v>
      </c>
      <c r="Q156" s="2">
        <v>44613.208333333336</v>
      </c>
      <c r="R156" s="2">
        <v>44613.25</v>
      </c>
      <c r="S156" s="0">
        <v>60</v>
      </c>
      <c r="T156" s="0">
        <v>12</v>
      </c>
      <c r="U156" s="0">
        <v>35</v>
      </c>
      <c r="V156" s="0">
        <v>88</v>
      </c>
      <c r="W156" s="1">
        <f>=HYPERLINK("10.175.1.14\MWEB.12\BT\EntityDetails.10.175.1.14.MWEB.12.-newsplus-vi.88.xlsx", "&lt;Detail&gt;")</f>
      </c>
      <c r="X156" s="1">
        <f>=HYPERLINK("10.175.1.14\MWEB.12\BT\MetricGraphs.BT.10.175.1.14.MWEB.12.xlsx", "&lt;Metrics&gt;")</f>
      </c>
      <c r="Y156" s="1">
        <f>=HYPERLINK("10.175.1.14\MWEB.12\BT\FlameGraph.BT.10.175.1.14.MWEB.12.-newsplus-vi.88.svg", "&lt;FlGraph&gt;")</f>
      </c>
      <c r="Z156" s="1">
        <f>=HYPERLINK("10.175.1.14\MWEB.12\BT\FlameChart.BT.10.175.1.14.MWEB.12.-newsplus-vi.88.svg", "&lt;FlChart&gt;")</f>
      </c>
      <c r="AA156" s="0" t="s">
        <v>107</v>
      </c>
      <c r="AB156" s="0" t="s">
        <v>108</v>
      </c>
      <c r="AC156" s="0" t="s">
        <v>142</v>
      </c>
      <c r="AD156" s="0" t="s">
        <v>477</v>
      </c>
      <c r="AE156" s="0" t="s">
        <v>109</v>
      </c>
    </row>
    <row r="157">
      <c r="A157" s="0" t="s">
        <v>28</v>
      </c>
      <c r="B157" s="0" t="s">
        <v>30</v>
      </c>
      <c r="C157" s="0" t="s">
        <v>161</v>
      </c>
      <c r="D157" s="0" t="s">
        <v>476</v>
      </c>
      <c r="E157" s="0" t="s">
        <v>223</v>
      </c>
      <c r="F157" s="0">
        <v>0</v>
      </c>
      <c r="G157" s="0" t="s">
        <v>106</v>
      </c>
      <c r="H157" s="0">
        <v>0</v>
      </c>
      <c r="I157" s="0">
        <v>0</v>
      </c>
      <c r="J157" s="0">
        <v>0</v>
      </c>
      <c r="K157" s="0">
        <v>0</v>
      </c>
      <c r="L157" s="0">
        <v>0</v>
      </c>
      <c r="M157" s="0">
        <v>0</v>
      </c>
      <c r="N157" s="0" t="b">
        <v>0</v>
      </c>
      <c r="O157" s="2">
        <v>44613.583333333336</v>
      </c>
      <c r="P157" s="2">
        <v>44613.625</v>
      </c>
      <c r="Q157" s="2">
        <v>44613.208333333336</v>
      </c>
      <c r="R157" s="2">
        <v>44613.25</v>
      </c>
      <c r="S157" s="0">
        <v>60</v>
      </c>
      <c r="T157" s="0">
        <v>12</v>
      </c>
      <c r="U157" s="0">
        <v>48</v>
      </c>
      <c r="V157" s="0">
        <v>686</v>
      </c>
      <c r="W157" s="1">
        <f>=HYPERLINK("10.175.1.14\MWEB.12\BT\EntityDetails.10.175.1.14.MWEB.12.-newsplus-vi.686.xlsx", "&lt;Detail&gt;")</f>
      </c>
      <c r="X157" s="1">
        <f>=HYPERLINK("10.175.1.14\MWEB.12\BT\MetricGraphs.BT.10.175.1.14.MWEB.12.xlsx", "&lt;Metrics&gt;")</f>
      </c>
      <c r="Y157" s="1">
        <f>=HYPERLINK("10.175.1.14\MWEB.12\BT\FlameGraph.BT.10.175.1.14.MWEB.12.-newsplus-vi.686.svg", "&lt;FlGraph&gt;")</f>
      </c>
      <c r="Z157" s="1">
        <f>=HYPERLINK("10.175.1.14\MWEB.12\BT\FlameChart.BT.10.175.1.14.MWEB.12.-newsplus-vi.686.svg", "&lt;FlChart&gt;")</f>
      </c>
      <c r="AA157" s="0" t="s">
        <v>107</v>
      </c>
      <c r="AB157" s="0" t="s">
        <v>108</v>
      </c>
      <c r="AC157" s="0" t="s">
        <v>162</v>
      </c>
      <c r="AD157" s="0" t="s">
        <v>478</v>
      </c>
      <c r="AE157" s="0" t="s">
        <v>109</v>
      </c>
    </row>
    <row r="158">
      <c r="A158" s="0" t="s">
        <v>28</v>
      </c>
      <c r="B158" s="0" t="s">
        <v>30</v>
      </c>
      <c r="C158" s="0" t="s">
        <v>145</v>
      </c>
      <c r="D158" s="0" t="s">
        <v>479</v>
      </c>
      <c r="E158" s="0" t="s">
        <v>229</v>
      </c>
      <c r="F158" s="0">
        <v>0</v>
      </c>
      <c r="G158" s="0" t="s">
        <v>106</v>
      </c>
      <c r="H158" s="0">
        <v>0</v>
      </c>
      <c r="I158" s="0">
        <v>0</v>
      </c>
      <c r="J158" s="0">
        <v>0</v>
      </c>
      <c r="K158" s="0">
        <v>0</v>
      </c>
      <c r="L158" s="0">
        <v>0</v>
      </c>
      <c r="M158" s="0">
        <v>0</v>
      </c>
      <c r="N158" s="0" t="b">
        <v>0</v>
      </c>
      <c r="O158" s="2">
        <v>44613.583333333336</v>
      </c>
      <c r="P158" s="2">
        <v>44613.625</v>
      </c>
      <c r="Q158" s="2">
        <v>44613.208333333336</v>
      </c>
      <c r="R158" s="2">
        <v>44613.25</v>
      </c>
      <c r="S158" s="0">
        <v>60</v>
      </c>
      <c r="T158" s="0">
        <v>12</v>
      </c>
      <c r="U158" s="0">
        <v>34</v>
      </c>
      <c r="V158" s="0">
        <v>228</v>
      </c>
      <c r="W158" s="1">
        <f>=HYPERLINK("10.175.1.14\MWEB.12\BT\EntityDetails.10.175.1.14.MWEB.12.-ondelay-Hea.228.xlsx", "&lt;Detail&gt;")</f>
      </c>
      <c r="X158" s="1">
        <f>=HYPERLINK("10.175.1.14\MWEB.12\BT\MetricGraphs.BT.10.175.1.14.MWEB.12.xlsx", "&lt;Metrics&gt;")</f>
      </c>
      <c r="Y158" s="1">
        <f>=HYPERLINK("10.175.1.14\MWEB.12\BT\FlameGraph.BT.10.175.1.14.MWEB.12.-ondelay-Hea.228.svg", "&lt;FlGraph&gt;")</f>
      </c>
      <c r="Z158" s="1">
        <f>=HYPERLINK("10.175.1.14\MWEB.12\BT\FlameChart.BT.10.175.1.14.MWEB.12.-ondelay-Hea.228.svg", "&lt;FlChart&gt;")</f>
      </c>
      <c r="AA158" s="0" t="s">
        <v>107</v>
      </c>
      <c r="AB158" s="0" t="s">
        <v>108</v>
      </c>
      <c r="AC158" s="0" t="s">
        <v>146</v>
      </c>
      <c r="AD158" s="0" t="s">
        <v>480</v>
      </c>
      <c r="AE158" s="0" t="s">
        <v>109</v>
      </c>
    </row>
    <row r="159">
      <c r="A159" s="0" t="s">
        <v>28</v>
      </c>
      <c r="B159" s="0" t="s">
        <v>30</v>
      </c>
      <c r="C159" s="0" t="s">
        <v>165</v>
      </c>
      <c r="D159" s="0" t="s">
        <v>479</v>
      </c>
      <c r="E159" s="0" t="s">
        <v>229</v>
      </c>
      <c r="F159" s="0">
        <v>0</v>
      </c>
      <c r="G159" s="0" t="s">
        <v>106</v>
      </c>
      <c r="H159" s="0">
        <v>0</v>
      </c>
      <c r="I159" s="0">
        <v>0</v>
      </c>
      <c r="J159" s="0">
        <v>0</v>
      </c>
      <c r="K159" s="0">
        <v>0</v>
      </c>
      <c r="L159" s="0">
        <v>0</v>
      </c>
      <c r="M159" s="0">
        <v>0</v>
      </c>
      <c r="N159" s="0" t="b">
        <v>0</v>
      </c>
      <c r="O159" s="2">
        <v>44613.583333333336</v>
      </c>
      <c r="P159" s="2">
        <v>44613.625</v>
      </c>
      <c r="Q159" s="2">
        <v>44613.208333333336</v>
      </c>
      <c r="R159" s="2">
        <v>44613.25</v>
      </c>
      <c r="S159" s="0">
        <v>60</v>
      </c>
      <c r="T159" s="0">
        <v>12</v>
      </c>
      <c r="U159" s="0">
        <v>47</v>
      </c>
      <c r="V159" s="0">
        <v>693</v>
      </c>
      <c r="W159" s="1">
        <f>=HYPERLINK("10.175.1.14\MWEB.12\BT\EntityDetails.10.175.1.14.MWEB.12.-ondelay-Hea.693.xlsx", "&lt;Detail&gt;")</f>
      </c>
      <c r="X159" s="1">
        <f>=HYPERLINK("10.175.1.14\MWEB.12\BT\MetricGraphs.BT.10.175.1.14.MWEB.12.xlsx", "&lt;Metrics&gt;")</f>
      </c>
      <c r="Y159" s="1">
        <f>=HYPERLINK("10.175.1.14\MWEB.12\BT\FlameGraph.BT.10.175.1.14.MWEB.12.-ondelay-Hea.693.svg", "&lt;FlGraph&gt;")</f>
      </c>
      <c r="Z159" s="1">
        <f>=HYPERLINK("10.175.1.14\MWEB.12\BT\FlameChart.BT.10.175.1.14.MWEB.12.-ondelay-Hea.693.svg", "&lt;FlChart&gt;")</f>
      </c>
      <c r="AA159" s="0" t="s">
        <v>107</v>
      </c>
      <c r="AB159" s="0" t="s">
        <v>108</v>
      </c>
      <c r="AC159" s="0" t="s">
        <v>166</v>
      </c>
      <c r="AD159" s="0" t="s">
        <v>481</v>
      </c>
      <c r="AE159" s="0" t="s">
        <v>109</v>
      </c>
    </row>
    <row r="160">
      <c r="A160" s="0" t="s">
        <v>28</v>
      </c>
      <c r="B160" s="0" t="s">
        <v>30</v>
      </c>
      <c r="C160" s="0" t="s">
        <v>133</v>
      </c>
      <c r="D160" s="0" t="s">
        <v>482</v>
      </c>
      <c r="E160" s="0" t="s">
        <v>229</v>
      </c>
      <c r="F160" s="0">
        <v>0</v>
      </c>
      <c r="G160" s="0" t="s">
        <v>106</v>
      </c>
      <c r="H160" s="0">
        <v>0</v>
      </c>
      <c r="I160" s="0">
        <v>0</v>
      </c>
      <c r="J160" s="0">
        <v>0</v>
      </c>
      <c r="K160" s="0">
        <v>0</v>
      </c>
      <c r="L160" s="0">
        <v>0</v>
      </c>
      <c r="M160" s="0">
        <v>0</v>
      </c>
      <c r="N160" s="0" t="b">
        <v>0</v>
      </c>
      <c r="O160" s="2">
        <v>44613.583333333336</v>
      </c>
      <c r="P160" s="2">
        <v>44613.625</v>
      </c>
      <c r="Q160" s="2">
        <v>44613.208333333336</v>
      </c>
      <c r="R160" s="2">
        <v>44613.25</v>
      </c>
      <c r="S160" s="0">
        <v>60</v>
      </c>
      <c r="T160" s="0">
        <v>12</v>
      </c>
      <c r="U160" s="0">
        <v>36</v>
      </c>
      <c r="V160" s="0">
        <v>149</v>
      </c>
      <c r="W160" s="1">
        <f>=HYPERLINK("10.175.1.14\MWEB.12\BT\EntityDetails.10.175.1.14.MWEB.12.-ondelay-odc.149.xlsx", "&lt;Detail&gt;")</f>
      </c>
      <c r="X160" s="1">
        <f>=HYPERLINK("10.175.1.14\MWEB.12\BT\MetricGraphs.BT.10.175.1.14.MWEB.12.xlsx", "&lt;Metrics&gt;")</f>
      </c>
      <c r="Y160" s="1">
        <f>=HYPERLINK("10.175.1.14\MWEB.12\BT\FlameGraph.BT.10.175.1.14.MWEB.12.-ondelay-odc.149.svg", "&lt;FlGraph&gt;")</f>
      </c>
      <c r="Z160" s="1">
        <f>=HYPERLINK("10.175.1.14\MWEB.12\BT\FlameChart.BT.10.175.1.14.MWEB.12.-ondelay-odc.149.svg", "&lt;FlChart&gt;")</f>
      </c>
      <c r="AA160" s="0" t="s">
        <v>107</v>
      </c>
      <c r="AB160" s="0" t="s">
        <v>108</v>
      </c>
      <c r="AC160" s="0" t="s">
        <v>134</v>
      </c>
      <c r="AD160" s="0" t="s">
        <v>483</v>
      </c>
      <c r="AE160" s="0" t="s">
        <v>109</v>
      </c>
    </row>
    <row r="161">
      <c r="A161" s="0" t="s">
        <v>28</v>
      </c>
      <c r="B161" s="0" t="s">
        <v>30</v>
      </c>
      <c r="C161" s="0" t="s">
        <v>145</v>
      </c>
      <c r="D161" s="0" t="s">
        <v>482</v>
      </c>
      <c r="E161" s="0" t="s">
        <v>229</v>
      </c>
      <c r="F161" s="0">
        <v>0</v>
      </c>
      <c r="G161" s="0" t="s">
        <v>106</v>
      </c>
      <c r="H161" s="0">
        <v>0</v>
      </c>
      <c r="I161" s="0">
        <v>0</v>
      </c>
      <c r="J161" s="0">
        <v>0</v>
      </c>
      <c r="K161" s="0">
        <v>0</v>
      </c>
      <c r="L161" s="0">
        <v>0</v>
      </c>
      <c r="M161" s="0">
        <v>0</v>
      </c>
      <c r="N161" s="0" t="b">
        <v>0</v>
      </c>
      <c r="O161" s="2">
        <v>44613.583333333336</v>
      </c>
      <c r="P161" s="2">
        <v>44613.625</v>
      </c>
      <c r="Q161" s="2">
        <v>44613.208333333336</v>
      </c>
      <c r="R161" s="2">
        <v>44613.25</v>
      </c>
      <c r="S161" s="0">
        <v>60</v>
      </c>
      <c r="T161" s="0">
        <v>12</v>
      </c>
      <c r="U161" s="0">
        <v>34</v>
      </c>
      <c r="V161" s="0">
        <v>185</v>
      </c>
      <c r="W161" s="1">
        <f>=HYPERLINK("10.175.1.14\MWEB.12\BT\EntityDetails.10.175.1.14.MWEB.12.-ondelay-odc.185.xlsx", "&lt;Detail&gt;")</f>
      </c>
      <c r="X161" s="1">
        <f>=HYPERLINK("10.175.1.14\MWEB.12\BT\MetricGraphs.BT.10.175.1.14.MWEB.12.xlsx", "&lt;Metrics&gt;")</f>
      </c>
      <c r="Y161" s="1">
        <f>=HYPERLINK("10.175.1.14\MWEB.12\BT\FlameGraph.BT.10.175.1.14.MWEB.12.-ondelay-odc.185.svg", "&lt;FlGraph&gt;")</f>
      </c>
      <c r="Z161" s="1">
        <f>=HYPERLINK("10.175.1.14\MWEB.12\BT\FlameChart.BT.10.175.1.14.MWEB.12.-ondelay-odc.185.svg", "&lt;FlChart&gt;")</f>
      </c>
      <c r="AA161" s="0" t="s">
        <v>107</v>
      </c>
      <c r="AB161" s="0" t="s">
        <v>108</v>
      </c>
      <c r="AC161" s="0" t="s">
        <v>146</v>
      </c>
      <c r="AD161" s="0" t="s">
        <v>484</v>
      </c>
      <c r="AE161" s="0" t="s">
        <v>109</v>
      </c>
    </row>
    <row r="162">
      <c r="A162" s="0" t="s">
        <v>28</v>
      </c>
      <c r="B162" s="0" t="s">
        <v>30</v>
      </c>
      <c r="C162" s="0" t="s">
        <v>165</v>
      </c>
      <c r="D162" s="0" t="s">
        <v>482</v>
      </c>
      <c r="E162" s="0" t="s">
        <v>229</v>
      </c>
      <c r="F162" s="0">
        <v>0</v>
      </c>
      <c r="G162" s="0" t="s">
        <v>106</v>
      </c>
      <c r="H162" s="0">
        <v>0</v>
      </c>
      <c r="I162" s="0">
        <v>0</v>
      </c>
      <c r="J162" s="0">
        <v>0</v>
      </c>
      <c r="K162" s="0">
        <v>0</v>
      </c>
      <c r="L162" s="0">
        <v>0</v>
      </c>
      <c r="M162" s="0">
        <v>0</v>
      </c>
      <c r="N162" s="0" t="b">
        <v>0</v>
      </c>
      <c r="O162" s="2">
        <v>44613.583333333336</v>
      </c>
      <c r="P162" s="2">
        <v>44613.625</v>
      </c>
      <c r="Q162" s="2">
        <v>44613.208333333336</v>
      </c>
      <c r="R162" s="2">
        <v>44613.25</v>
      </c>
      <c r="S162" s="0">
        <v>60</v>
      </c>
      <c r="T162" s="0">
        <v>12</v>
      </c>
      <c r="U162" s="0">
        <v>47</v>
      </c>
      <c r="V162" s="0">
        <v>714</v>
      </c>
      <c r="W162" s="1">
        <f>=HYPERLINK("10.175.1.14\MWEB.12\BT\EntityDetails.10.175.1.14.MWEB.12.-ondelay-odc.714.xlsx", "&lt;Detail&gt;")</f>
      </c>
      <c r="X162" s="1">
        <f>=HYPERLINK("10.175.1.14\MWEB.12\BT\MetricGraphs.BT.10.175.1.14.MWEB.12.xlsx", "&lt;Metrics&gt;")</f>
      </c>
      <c r="Y162" s="1">
        <f>=HYPERLINK("10.175.1.14\MWEB.12\BT\FlameGraph.BT.10.175.1.14.MWEB.12.-ondelay-odc.714.svg", "&lt;FlGraph&gt;")</f>
      </c>
      <c r="Z162" s="1">
        <f>=HYPERLINK("10.175.1.14\MWEB.12\BT\FlameChart.BT.10.175.1.14.MWEB.12.-ondelay-odc.714.svg", "&lt;FlChart&gt;")</f>
      </c>
      <c r="AA162" s="0" t="s">
        <v>107</v>
      </c>
      <c r="AB162" s="0" t="s">
        <v>108</v>
      </c>
      <c r="AC162" s="0" t="s">
        <v>166</v>
      </c>
      <c r="AD162" s="0" t="s">
        <v>485</v>
      </c>
      <c r="AE162" s="0" t="s">
        <v>109</v>
      </c>
    </row>
    <row r="163">
      <c r="A163" s="0" t="s">
        <v>28</v>
      </c>
      <c r="B163" s="0" t="s">
        <v>30</v>
      </c>
      <c r="C163" s="0" t="s">
        <v>127</v>
      </c>
      <c r="D163" s="0" t="s">
        <v>486</v>
      </c>
      <c r="E163" s="0" t="s">
        <v>229</v>
      </c>
      <c r="F163" s="0">
        <v>0</v>
      </c>
      <c r="G163" s="0" t="s">
        <v>106</v>
      </c>
      <c r="H163" s="0">
        <v>0</v>
      </c>
      <c r="I163" s="0">
        <v>0</v>
      </c>
      <c r="J163" s="0">
        <v>0</v>
      </c>
      <c r="K163" s="0">
        <v>0</v>
      </c>
      <c r="L163" s="0">
        <v>0</v>
      </c>
      <c r="M163" s="0">
        <v>0</v>
      </c>
      <c r="N163" s="0" t="b">
        <v>0</v>
      </c>
      <c r="O163" s="2">
        <v>44613.583333333336</v>
      </c>
      <c r="P163" s="2">
        <v>44613.625</v>
      </c>
      <c r="Q163" s="2">
        <v>44613.208333333336</v>
      </c>
      <c r="R163" s="2">
        <v>44613.25</v>
      </c>
      <c r="S163" s="0">
        <v>60</v>
      </c>
      <c r="T163" s="0">
        <v>12</v>
      </c>
      <c r="U163" s="0">
        <v>39</v>
      </c>
      <c r="V163" s="0">
        <v>124</v>
      </c>
      <c r="W163" s="1">
        <f>=HYPERLINK("10.175.1.14\MWEB.12\BT\EntityDetails.10.175.1.14.MWEB.12.-online-addr.124.xlsx", "&lt;Detail&gt;")</f>
      </c>
      <c r="X163" s="1">
        <f>=HYPERLINK("10.175.1.14\MWEB.12\BT\MetricGraphs.BT.10.175.1.14.MWEB.12.xlsx", "&lt;Metrics&gt;")</f>
      </c>
      <c r="Y163" s="1">
        <f>=HYPERLINK("10.175.1.14\MWEB.12\BT\FlameGraph.BT.10.175.1.14.MWEB.12.-online-addr.124.svg", "&lt;FlGraph&gt;")</f>
      </c>
      <c r="Z163" s="1">
        <f>=HYPERLINK("10.175.1.14\MWEB.12\BT\FlameChart.BT.10.175.1.14.MWEB.12.-online-addr.124.svg", "&lt;FlChart&gt;")</f>
      </c>
      <c r="AA163" s="0" t="s">
        <v>107</v>
      </c>
      <c r="AB163" s="0" t="s">
        <v>108</v>
      </c>
      <c r="AC163" s="0" t="s">
        <v>128</v>
      </c>
      <c r="AD163" s="0" t="s">
        <v>487</v>
      </c>
      <c r="AE163" s="0" t="s">
        <v>109</v>
      </c>
    </row>
    <row r="164">
      <c r="A164" s="0" t="s">
        <v>28</v>
      </c>
      <c r="B164" s="0" t="s">
        <v>30</v>
      </c>
      <c r="C164" s="0" t="s">
        <v>127</v>
      </c>
      <c r="D164" s="0" t="s">
        <v>488</v>
      </c>
      <c r="E164" s="0" t="s">
        <v>229</v>
      </c>
      <c r="F164" s="0">
        <v>0</v>
      </c>
      <c r="G164" s="0" t="s">
        <v>106</v>
      </c>
      <c r="H164" s="0">
        <v>0</v>
      </c>
      <c r="I164" s="0">
        <v>0</v>
      </c>
      <c r="J164" s="0">
        <v>0</v>
      </c>
      <c r="K164" s="0">
        <v>0</v>
      </c>
      <c r="L164" s="0">
        <v>0</v>
      </c>
      <c r="M164" s="0">
        <v>0</v>
      </c>
      <c r="N164" s="0" t="b">
        <v>0</v>
      </c>
      <c r="O164" s="2">
        <v>44613.583333333336</v>
      </c>
      <c r="P164" s="2">
        <v>44613.625</v>
      </c>
      <c r="Q164" s="2">
        <v>44613.208333333336</v>
      </c>
      <c r="R164" s="2">
        <v>44613.25</v>
      </c>
      <c r="S164" s="0">
        <v>60</v>
      </c>
      <c r="T164" s="0">
        <v>12</v>
      </c>
      <c r="U164" s="0">
        <v>39</v>
      </c>
      <c r="V164" s="0">
        <v>130</v>
      </c>
      <c r="W164" s="1">
        <f>=HYPERLINK("10.175.1.14\MWEB.12\BT\EntityDetails.10.175.1.14.MWEB.12.-online-bank.130.xlsx", "&lt;Detail&gt;")</f>
      </c>
      <c r="X164" s="1">
        <f>=HYPERLINK("10.175.1.14\MWEB.12\BT\MetricGraphs.BT.10.175.1.14.MWEB.12.xlsx", "&lt;Metrics&gt;")</f>
      </c>
      <c r="Y164" s="1">
        <f>=HYPERLINK("10.175.1.14\MWEB.12\BT\FlameGraph.BT.10.175.1.14.MWEB.12.-online-bank.130.svg", "&lt;FlGraph&gt;")</f>
      </c>
      <c r="Z164" s="1">
        <f>=HYPERLINK("10.175.1.14\MWEB.12\BT\FlameChart.BT.10.175.1.14.MWEB.12.-online-bank.130.svg", "&lt;FlChart&gt;")</f>
      </c>
      <c r="AA164" s="0" t="s">
        <v>107</v>
      </c>
      <c r="AB164" s="0" t="s">
        <v>108</v>
      </c>
      <c r="AC164" s="0" t="s">
        <v>128</v>
      </c>
      <c r="AD164" s="0" t="s">
        <v>489</v>
      </c>
      <c r="AE164" s="0" t="s">
        <v>109</v>
      </c>
    </row>
    <row r="165">
      <c r="A165" s="0" t="s">
        <v>28</v>
      </c>
      <c r="B165" s="0" t="s">
        <v>30</v>
      </c>
      <c r="C165" s="0" t="s">
        <v>127</v>
      </c>
      <c r="D165" s="0" t="s">
        <v>490</v>
      </c>
      <c r="E165" s="0" t="s">
        <v>229</v>
      </c>
      <c r="F165" s="0">
        <v>0</v>
      </c>
      <c r="G165" s="0" t="s">
        <v>106</v>
      </c>
      <c r="H165" s="0">
        <v>0</v>
      </c>
      <c r="I165" s="0">
        <v>0</v>
      </c>
      <c r="J165" s="0">
        <v>0</v>
      </c>
      <c r="K165" s="0">
        <v>0</v>
      </c>
      <c r="L165" s="0">
        <v>0</v>
      </c>
      <c r="M165" s="0">
        <v>0</v>
      </c>
      <c r="N165" s="0" t="b">
        <v>0</v>
      </c>
      <c r="O165" s="2">
        <v>44613.583333333336</v>
      </c>
      <c r="P165" s="2">
        <v>44613.625</v>
      </c>
      <c r="Q165" s="2">
        <v>44613.208333333336</v>
      </c>
      <c r="R165" s="2">
        <v>44613.25</v>
      </c>
      <c r="S165" s="0">
        <v>60</v>
      </c>
      <c r="T165" s="0">
        <v>12</v>
      </c>
      <c r="U165" s="0">
        <v>39</v>
      </c>
      <c r="V165" s="0">
        <v>131</v>
      </c>
      <c r="W165" s="1">
        <f>=HYPERLINK("10.175.1.14\MWEB.12\BT\EntityDetails.10.175.1.14.MWEB.12.-online-bank.131.xlsx", "&lt;Detail&gt;")</f>
      </c>
      <c r="X165" s="1">
        <f>=HYPERLINK("10.175.1.14\MWEB.12\BT\MetricGraphs.BT.10.175.1.14.MWEB.12.xlsx", "&lt;Metrics&gt;")</f>
      </c>
      <c r="Y165" s="1">
        <f>=HYPERLINK("10.175.1.14\MWEB.12\BT\FlameGraph.BT.10.175.1.14.MWEB.12.-online-bank.131.svg", "&lt;FlGraph&gt;")</f>
      </c>
      <c r="Z165" s="1">
        <f>=HYPERLINK("10.175.1.14\MWEB.12\BT\FlameChart.BT.10.175.1.14.MWEB.12.-online-bank.131.svg", "&lt;FlChart&gt;")</f>
      </c>
      <c r="AA165" s="0" t="s">
        <v>107</v>
      </c>
      <c r="AB165" s="0" t="s">
        <v>108</v>
      </c>
      <c r="AC165" s="0" t="s">
        <v>128</v>
      </c>
      <c r="AD165" s="0" t="s">
        <v>491</v>
      </c>
      <c r="AE165" s="0" t="s">
        <v>109</v>
      </c>
    </row>
    <row r="166">
      <c r="A166" s="0" t="s">
        <v>28</v>
      </c>
      <c r="B166" s="0" t="s">
        <v>30</v>
      </c>
      <c r="C166" s="0" t="s">
        <v>127</v>
      </c>
      <c r="D166" s="0" t="s">
        <v>492</v>
      </c>
      <c r="E166" s="0" t="s">
        <v>229</v>
      </c>
      <c r="F166" s="0">
        <v>0</v>
      </c>
      <c r="G166" s="0" t="s">
        <v>106</v>
      </c>
      <c r="H166" s="0">
        <v>0</v>
      </c>
      <c r="I166" s="0">
        <v>0</v>
      </c>
      <c r="J166" s="0">
        <v>0</v>
      </c>
      <c r="K166" s="0">
        <v>0</v>
      </c>
      <c r="L166" s="0">
        <v>0</v>
      </c>
      <c r="M166" s="0">
        <v>0</v>
      </c>
      <c r="N166" s="0" t="b">
        <v>0</v>
      </c>
      <c r="O166" s="2">
        <v>44613.583333333336</v>
      </c>
      <c r="P166" s="2">
        <v>44613.625</v>
      </c>
      <c r="Q166" s="2">
        <v>44613.208333333336</v>
      </c>
      <c r="R166" s="2">
        <v>44613.25</v>
      </c>
      <c r="S166" s="0">
        <v>60</v>
      </c>
      <c r="T166" s="0">
        <v>12</v>
      </c>
      <c r="U166" s="0">
        <v>39</v>
      </c>
      <c r="V166" s="0">
        <v>138</v>
      </c>
      <c r="W166" s="1">
        <f>=HYPERLINK("10.175.1.14\MWEB.12\BT\EntityDetails.10.175.1.14.MWEB.12.-online-bank.138.xlsx", "&lt;Detail&gt;")</f>
      </c>
      <c r="X166" s="1">
        <f>=HYPERLINK("10.175.1.14\MWEB.12\BT\MetricGraphs.BT.10.175.1.14.MWEB.12.xlsx", "&lt;Metrics&gt;")</f>
      </c>
      <c r="Y166" s="1">
        <f>=HYPERLINK("10.175.1.14\MWEB.12\BT\FlameGraph.BT.10.175.1.14.MWEB.12.-online-bank.138.svg", "&lt;FlGraph&gt;")</f>
      </c>
      <c r="Z166" s="1">
        <f>=HYPERLINK("10.175.1.14\MWEB.12\BT\FlameChart.BT.10.175.1.14.MWEB.12.-online-bank.138.svg", "&lt;FlChart&gt;")</f>
      </c>
      <c r="AA166" s="0" t="s">
        <v>107</v>
      </c>
      <c r="AB166" s="0" t="s">
        <v>108</v>
      </c>
      <c r="AC166" s="0" t="s">
        <v>128</v>
      </c>
      <c r="AD166" s="0" t="s">
        <v>493</v>
      </c>
      <c r="AE166" s="0" t="s">
        <v>109</v>
      </c>
    </row>
    <row r="167">
      <c r="A167" s="0" t="s">
        <v>28</v>
      </c>
      <c r="B167" s="0" t="s">
        <v>30</v>
      </c>
      <c r="C167" s="0" t="s">
        <v>127</v>
      </c>
      <c r="D167" s="0" t="s">
        <v>494</v>
      </c>
      <c r="E167" s="0" t="s">
        <v>229</v>
      </c>
      <c r="F167" s="0">
        <v>0</v>
      </c>
      <c r="G167" s="0" t="s">
        <v>106</v>
      </c>
      <c r="H167" s="0">
        <v>0</v>
      </c>
      <c r="I167" s="0">
        <v>0</v>
      </c>
      <c r="J167" s="0">
        <v>0</v>
      </c>
      <c r="K167" s="0">
        <v>0</v>
      </c>
      <c r="L167" s="0">
        <v>0</v>
      </c>
      <c r="M167" s="0">
        <v>0</v>
      </c>
      <c r="N167" s="0" t="b">
        <v>0</v>
      </c>
      <c r="O167" s="2">
        <v>44613.583333333336</v>
      </c>
      <c r="P167" s="2">
        <v>44613.625</v>
      </c>
      <c r="Q167" s="2">
        <v>44613.208333333336</v>
      </c>
      <c r="R167" s="2">
        <v>44613.25</v>
      </c>
      <c r="S167" s="0">
        <v>60</v>
      </c>
      <c r="T167" s="0">
        <v>12</v>
      </c>
      <c r="U167" s="0">
        <v>39</v>
      </c>
      <c r="V167" s="0">
        <v>136</v>
      </c>
      <c r="W167" s="1">
        <f>=HYPERLINK("10.175.1.14\MWEB.12\BT\EntityDetails.10.175.1.14.MWEB.12.-online-bank.136.xlsx", "&lt;Detail&gt;")</f>
      </c>
      <c r="X167" s="1">
        <f>=HYPERLINK("10.175.1.14\MWEB.12\BT\MetricGraphs.BT.10.175.1.14.MWEB.12.xlsx", "&lt;Metrics&gt;")</f>
      </c>
      <c r="Y167" s="1">
        <f>=HYPERLINK("10.175.1.14\MWEB.12\BT\FlameGraph.BT.10.175.1.14.MWEB.12.-online-bank.136.svg", "&lt;FlGraph&gt;")</f>
      </c>
      <c r="Z167" s="1">
        <f>=HYPERLINK("10.175.1.14\MWEB.12\BT\FlameChart.BT.10.175.1.14.MWEB.12.-online-bank.136.svg", "&lt;FlChart&gt;")</f>
      </c>
      <c r="AA167" s="0" t="s">
        <v>107</v>
      </c>
      <c r="AB167" s="0" t="s">
        <v>108</v>
      </c>
      <c r="AC167" s="0" t="s">
        <v>128</v>
      </c>
      <c r="AD167" s="0" t="s">
        <v>495</v>
      </c>
      <c r="AE167" s="0" t="s">
        <v>109</v>
      </c>
    </row>
    <row r="168">
      <c r="A168" s="0" t="s">
        <v>28</v>
      </c>
      <c r="B168" s="0" t="s">
        <v>30</v>
      </c>
      <c r="C168" s="0" t="s">
        <v>127</v>
      </c>
      <c r="D168" s="0" t="s">
        <v>496</v>
      </c>
      <c r="E168" s="0" t="s">
        <v>229</v>
      </c>
      <c r="F168" s="0">
        <v>0</v>
      </c>
      <c r="G168" s="0" t="s">
        <v>106</v>
      </c>
      <c r="H168" s="0">
        <v>0</v>
      </c>
      <c r="I168" s="0">
        <v>0</v>
      </c>
      <c r="J168" s="0">
        <v>0</v>
      </c>
      <c r="K168" s="0">
        <v>0</v>
      </c>
      <c r="L168" s="0">
        <v>0</v>
      </c>
      <c r="M168" s="0">
        <v>0</v>
      </c>
      <c r="N168" s="0" t="b">
        <v>0</v>
      </c>
      <c r="O168" s="2">
        <v>44613.583333333336</v>
      </c>
      <c r="P168" s="2">
        <v>44613.625</v>
      </c>
      <c r="Q168" s="2">
        <v>44613.208333333336</v>
      </c>
      <c r="R168" s="2">
        <v>44613.25</v>
      </c>
      <c r="S168" s="0">
        <v>60</v>
      </c>
      <c r="T168" s="0">
        <v>12</v>
      </c>
      <c r="U168" s="0">
        <v>39</v>
      </c>
      <c r="V168" s="0">
        <v>129</v>
      </c>
      <c r="W168" s="1">
        <f>=HYPERLINK("10.175.1.14\MWEB.12\BT\EntityDetails.10.175.1.14.MWEB.12.-online-bran.129.xlsx", "&lt;Detail&gt;")</f>
      </c>
      <c r="X168" s="1">
        <f>=HYPERLINK("10.175.1.14\MWEB.12\BT\MetricGraphs.BT.10.175.1.14.MWEB.12.xlsx", "&lt;Metrics&gt;")</f>
      </c>
      <c r="Y168" s="1">
        <f>=HYPERLINK("10.175.1.14\MWEB.12\BT\FlameGraph.BT.10.175.1.14.MWEB.12.-online-bran.129.svg", "&lt;FlGraph&gt;")</f>
      </c>
      <c r="Z168" s="1">
        <f>=HYPERLINK("10.175.1.14\MWEB.12\BT\FlameChart.BT.10.175.1.14.MWEB.12.-online-bran.129.svg", "&lt;FlChart&gt;")</f>
      </c>
      <c r="AA168" s="0" t="s">
        <v>107</v>
      </c>
      <c r="AB168" s="0" t="s">
        <v>108</v>
      </c>
      <c r="AC168" s="0" t="s">
        <v>128</v>
      </c>
      <c r="AD168" s="0" t="s">
        <v>497</v>
      </c>
      <c r="AE168" s="0" t="s">
        <v>109</v>
      </c>
    </row>
    <row r="169">
      <c r="A169" s="0" t="s">
        <v>28</v>
      </c>
      <c r="B169" s="0" t="s">
        <v>30</v>
      </c>
      <c r="C169" s="0" t="s">
        <v>127</v>
      </c>
      <c r="D169" s="0" t="s">
        <v>498</v>
      </c>
      <c r="E169" s="0" t="s">
        <v>229</v>
      </c>
      <c r="F169" s="0">
        <v>0</v>
      </c>
      <c r="G169" s="0" t="s">
        <v>106</v>
      </c>
      <c r="H169" s="0">
        <v>0</v>
      </c>
      <c r="I169" s="0">
        <v>0</v>
      </c>
      <c r="J169" s="0">
        <v>0</v>
      </c>
      <c r="K169" s="0">
        <v>0</v>
      </c>
      <c r="L169" s="0">
        <v>0</v>
      </c>
      <c r="M169" s="0">
        <v>0</v>
      </c>
      <c r="N169" s="0" t="b">
        <v>0</v>
      </c>
      <c r="O169" s="2">
        <v>44613.583333333336</v>
      </c>
      <c r="P169" s="2">
        <v>44613.625</v>
      </c>
      <c r="Q169" s="2">
        <v>44613.208333333336</v>
      </c>
      <c r="R169" s="2">
        <v>44613.25</v>
      </c>
      <c r="S169" s="0">
        <v>60</v>
      </c>
      <c r="T169" s="0">
        <v>12</v>
      </c>
      <c r="U169" s="0">
        <v>39</v>
      </c>
      <c r="V169" s="0">
        <v>116</v>
      </c>
      <c r="W169" s="1">
        <f>=HYPERLINK("10.175.1.14\MWEB.12\BT\EntityDetails.10.175.1.14.MWEB.12.-online-entr.116.xlsx", "&lt;Detail&gt;")</f>
      </c>
      <c r="X169" s="1">
        <f>=HYPERLINK("10.175.1.14\MWEB.12\BT\MetricGraphs.BT.10.175.1.14.MWEB.12.xlsx", "&lt;Metrics&gt;")</f>
      </c>
      <c r="Y169" s="1">
        <f>=HYPERLINK("10.175.1.14\MWEB.12\BT\FlameGraph.BT.10.175.1.14.MWEB.12.-online-entr.116.svg", "&lt;FlGraph&gt;")</f>
      </c>
      <c r="Z169" s="1">
        <f>=HYPERLINK("10.175.1.14\MWEB.12\BT\FlameChart.BT.10.175.1.14.MWEB.12.-online-entr.116.svg", "&lt;FlChart&gt;")</f>
      </c>
      <c r="AA169" s="0" t="s">
        <v>107</v>
      </c>
      <c r="AB169" s="0" t="s">
        <v>108</v>
      </c>
      <c r="AC169" s="0" t="s">
        <v>128</v>
      </c>
      <c r="AD169" s="0" t="s">
        <v>499</v>
      </c>
      <c r="AE169" s="0" t="s">
        <v>109</v>
      </c>
    </row>
    <row r="170">
      <c r="A170" s="0" t="s">
        <v>28</v>
      </c>
      <c r="B170" s="0" t="s">
        <v>30</v>
      </c>
      <c r="C170" s="0" t="s">
        <v>127</v>
      </c>
      <c r="D170" s="0" t="s">
        <v>500</v>
      </c>
      <c r="E170" s="0" t="s">
        <v>229</v>
      </c>
      <c r="F170" s="0">
        <v>0</v>
      </c>
      <c r="G170" s="0" t="s">
        <v>106</v>
      </c>
      <c r="H170" s="0">
        <v>0</v>
      </c>
      <c r="I170" s="0">
        <v>0</v>
      </c>
      <c r="J170" s="0">
        <v>0</v>
      </c>
      <c r="K170" s="0">
        <v>0</v>
      </c>
      <c r="L170" s="0">
        <v>0</v>
      </c>
      <c r="M170" s="0">
        <v>0</v>
      </c>
      <c r="N170" s="0" t="b">
        <v>0</v>
      </c>
      <c r="O170" s="2">
        <v>44613.583333333336</v>
      </c>
      <c r="P170" s="2">
        <v>44613.625</v>
      </c>
      <c r="Q170" s="2">
        <v>44613.208333333336</v>
      </c>
      <c r="R170" s="2">
        <v>44613.25</v>
      </c>
      <c r="S170" s="0">
        <v>60</v>
      </c>
      <c r="T170" s="0">
        <v>12</v>
      </c>
      <c r="U170" s="0">
        <v>39</v>
      </c>
      <c r="V170" s="0">
        <v>123</v>
      </c>
      <c r="W170" s="1">
        <f>=HYPERLINK("10.175.1.14\MWEB.12\BT\EntityDetails.10.175.1.14.MWEB.12.-online-erro.123.xlsx", "&lt;Detail&gt;")</f>
      </c>
      <c r="X170" s="1">
        <f>=HYPERLINK("10.175.1.14\MWEB.12\BT\MetricGraphs.BT.10.175.1.14.MWEB.12.xlsx", "&lt;Metrics&gt;")</f>
      </c>
      <c r="Y170" s="1">
        <f>=HYPERLINK("10.175.1.14\MWEB.12\BT\FlameGraph.BT.10.175.1.14.MWEB.12.-online-erro.123.svg", "&lt;FlGraph&gt;")</f>
      </c>
      <c r="Z170" s="1">
        <f>=HYPERLINK("10.175.1.14\MWEB.12\BT\FlameChart.BT.10.175.1.14.MWEB.12.-online-erro.123.svg", "&lt;FlChart&gt;")</f>
      </c>
      <c r="AA170" s="0" t="s">
        <v>107</v>
      </c>
      <c r="AB170" s="0" t="s">
        <v>108</v>
      </c>
      <c r="AC170" s="0" t="s">
        <v>128</v>
      </c>
      <c r="AD170" s="0" t="s">
        <v>501</v>
      </c>
      <c r="AE170" s="0" t="s">
        <v>109</v>
      </c>
    </row>
    <row r="171">
      <c r="A171" s="0" t="s">
        <v>28</v>
      </c>
      <c r="B171" s="0" t="s">
        <v>30</v>
      </c>
      <c r="C171" s="0" t="s">
        <v>127</v>
      </c>
      <c r="D171" s="0" t="s">
        <v>502</v>
      </c>
      <c r="E171" s="0" t="s">
        <v>229</v>
      </c>
      <c r="F171" s="0">
        <v>0</v>
      </c>
      <c r="G171" s="0" t="s">
        <v>106</v>
      </c>
      <c r="H171" s="0">
        <v>0</v>
      </c>
      <c r="I171" s="0">
        <v>0</v>
      </c>
      <c r="J171" s="0">
        <v>0</v>
      </c>
      <c r="K171" s="0">
        <v>0</v>
      </c>
      <c r="L171" s="0">
        <v>0</v>
      </c>
      <c r="M171" s="0">
        <v>0</v>
      </c>
      <c r="N171" s="0" t="b">
        <v>0</v>
      </c>
      <c r="O171" s="2">
        <v>44613.583333333336</v>
      </c>
      <c r="P171" s="2">
        <v>44613.625</v>
      </c>
      <c r="Q171" s="2">
        <v>44613.208333333336</v>
      </c>
      <c r="R171" s="2">
        <v>44613.25</v>
      </c>
      <c r="S171" s="0">
        <v>60</v>
      </c>
      <c r="T171" s="0">
        <v>12</v>
      </c>
      <c r="U171" s="0">
        <v>39</v>
      </c>
      <c r="V171" s="0">
        <v>97</v>
      </c>
      <c r="W171" s="1">
        <f>=HYPERLINK("10.175.1.14\MWEB.12\BT\EntityDetails.10.175.1.14.MWEB.12.-online-inqu.97.xlsx", "&lt;Detail&gt;")</f>
      </c>
      <c r="X171" s="1">
        <f>=HYPERLINK("10.175.1.14\MWEB.12\BT\MetricGraphs.BT.10.175.1.14.MWEB.12.xlsx", "&lt;Metrics&gt;")</f>
      </c>
      <c r="Y171" s="1">
        <f>=HYPERLINK("10.175.1.14\MWEB.12\BT\FlameGraph.BT.10.175.1.14.MWEB.12.-online-inqu.97.svg", "&lt;FlGraph&gt;")</f>
      </c>
      <c r="Z171" s="1">
        <f>=HYPERLINK("10.175.1.14\MWEB.12\BT\FlameChart.BT.10.175.1.14.MWEB.12.-online-inqu.97.svg", "&lt;FlChart&gt;")</f>
      </c>
      <c r="AA171" s="0" t="s">
        <v>107</v>
      </c>
      <c r="AB171" s="0" t="s">
        <v>108</v>
      </c>
      <c r="AC171" s="0" t="s">
        <v>128</v>
      </c>
      <c r="AD171" s="0" t="s">
        <v>503</v>
      </c>
      <c r="AE171" s="0" t="s">
        <v>109</v>
      </c>
    </row>
    <row r="172">
      <c r="A172" s="0" t="s">
        <v>28</v>
      </c>
      <c r="B172" s="0" t="s">
        <v>30</v>
      </c>
      <c r="C172" s="0" t="s">
        <v>127</v>
      </c>
      <c r="D172" s="0" t="s">
        <v>504</v>
      </c>
      <c r="E172" s="0" t="s">
        <v>229</v>
      </c>
      <c r="F172" s="0">
        <v>0</v>
      </c>
      <c r="G172" s="0" t="s">
        <v>106</v>
      </c>
      <c r="H172" s="0">
        <v>0</v>
      </c>
      <c r="I172" s="0">
        <v>0</v>
      </c>
      <c r="J172" s="0">
        <v>0</v>
      </c>
      <c r="K172" s="0">
        <v>0</v>
      </c>
      <c r="L172" s="0">
        <v>0</v>
      </c>
      <c r="M172" s="0">
        <v>0</v>
      </c>
      <c r="N172" s="0" t="b">
        <v>0</v>
      </c>
      <c r="O172" s="2">
        <v>44613.583333333336</v>
      </c>
      <c r="P172" s="2">
        <v>44613.625</v>
      </c>
      <c r="Q172" s="2">
        <v>44613.208333333336</v>
      </c>
      <c r="R172" s="2">
        <v>44613.25</v>
      </c>
      <c r="S172" s="0">
        <v>60</v>
      </c>
      <c r="T172" s="0">
        <v>12</v>
      </c>
      <c r="U172" s="0">
        <v>39</v>
      </c>
      <c r="V172" s="0">
        <v>182</v>
      </c>
      <c r="W172" s="1">
        <f>=HYPERLINK("10.175.1.14\MWEB.12\BT\EntityDetails.10.175.1.14.MWEB.12.-online-test.182.xlsx", "&lt;Detail&gt;")</f>
      </c>
      <c r="X172" s="1">
        <f>=HYPERLINK("10.175.1.14\MWEB.12\BT\MetricGraphs.BT.10.175.1.14.MWEB.12.xlsx", "&lt;Metrics&gt;")</f>
      </c>
      <c r="Y172" s="1">
        <f>=HYPERLINK("10.175.1.14\MWEB.12\BT\FlameGraph.BT.10.175.1.14.MWEB.12.-online-test.182.svg", "&lt;FlGraph&gt;")</f>
      </c>
      <c r="Z172" s="1">
        <f>=HYPERLINK("10.175.1.14\MWEB.12\BT\FlameChart.BT.10.175.1.14.MWEB.12.-online-test.182.svg", "&lt;FlChart&gt;")</f>
      </c>
      <c r="AA172" s="0" t="s">
        <v>107</v>
      </c>
      <c r="AB172" s="0" t="s">
        <v>108</v>
      </c>
      <c r="AC172" s="0" t="s">
        <v>128</v>
      </c>
      <c r="AD172" s="0" t="s">
        <v>505</v>
      </c>
      <c r="AE172" s="0" t="s">
        <v>109</v>
      </c>
    </row>
    <row r="173">
      <c r="A173" s="0" t="s">
        <v>28</v>
      </c>
      <c r="B173" s="0" t="s">
        <v>30</v>
      </c>
      <c r="C173" s="0" t="s">
        <v>133</v>
      </c>
      <c r="D173" s="0" t="s">
        <v>506</v>
      </c>
      <c r="E173" s="0" t="s">
        <v>229</v>
      </c>
      <c r="F173" s="0">
        <v>0</v>
      </c>
      <c r="G173" s="0" t="s">
        <v>106</v>
      </c>
      <c r="H173" s="0">
        <v>0</v>
      </c>
      <c r="I173" s="0">
        <v>0</v>
      </c>
      <c r="J173" s="0">
        <v>0</v>
      </c>
      <c r="K173" s="0">
        <v>0</v>
      </c>
      <c r="L173" s="0">
        <v>0</v>
      </c>
      <c r="M173" s="0">
        <v>0</v>
      </c>
      <c r="N173" s="0" t="b">
        <v>0</v>
      </c>
      <c r="O173" s="2">
        <v>44613.583333333336</v>
      </c>
      <c r="P173" s="2">
        <v>44613.625</v>
      </c>
      <c r="Q173" s="2">
        <v>44613.208333333336</v>
      </c>
      <c r="R173" s="2">
        <v>44613.25</v>
      </c>
      <c r="S173" s="0">
        <v>60</v>
      </c>
      <c r="T173" s="0">
        <v>12</v>
      </c>
      <c r="U173" s="0">
        <v>36</v>
      </c>
      <c r="V173" s="0">
        <v>391</v>
      </c>
      <c r="W173" s="1">
        <f>=HYPERLINK("10.175.1.14\MWEB.12\BT\EntityDetails.10.175.1.14.MWEB.12.-remote-arti.391.xlsx", "&lt;Detail&gt;")</f>
      </c>
      <c r="X173" s="1">
        <f>=HYPERLINK("10.175.1.14\MWEB.12\BT\MetricGraphs.BT.10.175.1.14.MWEB.12.xlsx", "&lt;Metrics&gt;")</f>
      </c>
      <c r="Y173" s="1">
        <f>=HYPERLINK("10.175.1.14\MWEB.12\BT\FlameGraph.BT.10.175.1.14.MWEB.12.-remote-arti.391.svg", "&lt;FlGraph&gt;")</f>
      </c>
      <c r="Z173" s="1">
        <f>=HYPERLINK("10.175.1.14\MWEB.12\BT\FlameChart.BT.10.175.1.14.MWEB.12.-remote-arti.391.svg", "&lt;FlChart&gt;")</f>
      </c>
      <c r="AA173" s="0" t="s">
        <v>107</v>
      </c>
      <c r="AB173" s="0" t="s">
        <v>108</v>
      </c>
      <c r="AC173" s="0" t="s">
        <v>134</v>
      </c>
      <c r="AD173" s="0" t="s">
        <v>507</v>
      </c>
      <c r="AE173" s="0" t="s">
        <v>109</v>
      </c>
    </row>
    <row r="174">
      <c r="A174" s="0" t="s">
        <v>28</v>
      </c>
      <c r="B174" s="0" t="s">
        <v>30</v>
      </c>
      <c r="C174" s="0" t="s">
        <v>133</v>
      </c>
      <c r="D174" s="0" t="s">
        <v>508</v>
      </c>
      <c r="E174" s="0" t="s">
        <v>229</v>
      </c>
      <c r="F174" s="0">
        <v>0</v>
      </c>
      <c r="G174" s="0" t="s">
        <v>106</v>
      </c>
      <c r="H174" s="0">
        <v>0</v>
      </c>
      <c r="I174" s="0">
        <v>0</v>
      </c>
      <c r="J174" s="0">
        <v>0</v>
      </c>
      <c r="K174" s="0">
        <v>0</v>
      </c>
      <c r="L174" s="0">
        <v>0</v>
      </c>
      <c r="M174" s="0">
        <v>0</v>
      </c>
      <c r="N174" s="0" t="b">
        <v>0</v>
      </c>
      <c r="O174" s="2">
        <v>44613.583333333336</v>
      </c>
      <c r="P174" s="2">
        <v>44613.625</v>
      </c>
      <c r="Q174" s="2">
        <v>44613.208333333336</v>
      </c>
      <c r="R174" s="2">
        <v>44613.25</v>
      </c>
      <c r="S174" s="0">
        <v>60</v>
      </c>
      <c r="T174" s="0">
        <v>12</v>
      </c>
      <c r="U174" s="0">
        <v>36</v>
      </c>
      <c r="V174" s="0">
        <v>387</v>
      </c>
      <c r="W174" s="1">
        <f>=HYPERLINK("10.175.1.14\MWEB.12\BT\EntityDetails.10.175.1.14.MWEB.12.-remote-arti.387.xlsx", "&lt;Detail&gt;")</f>
      </c>
      <c r="X174" s="1">
        <f>=HYPERLINK("10.175.1.14\MWEB.12\BT\MetricGraphs.BT.10.175.1.14.MWEB.12.xlsx", "&lt;Metrics&gt;")</f>
      </c>
      <c r="Y174" s="1">
        <f>=HYPERLINK("10.175.1.14\MWEB.12\BT\FlameGraph.BT.10.175.1.14.MWEB.12.-remote-arti.387.svg", "&lt;FlGraph&gt;")</f>
      </c>
      <c r="Z174" s="1">
        <f>=HYPERLINK("10.175.1.14\MWEB.12\BT\FlameChart.BT.10.175.1.14.MWEB.12.-remote-arti.387.svg", "&lt;FlChart&gt;")</f>
      </c>
      <c r="AA174" s="0" t="s">
        <v>107</v>
      </c>
      <c r="AB174" s="0" t="s">
        <v>108</v>
      </c>
      <c r="AC174" s="0" t="s">
        <v>134</v>
      </c>
      <c r="AD174" s="0" t="s">
        <v>509</v>
      </c>
      <c r="AE174" s="0" t="s">
        <v>109</v>
      </c>
    </row>
    <row r="175">
      <c r="A175" s="0" t="s">
        <v>28</v>
      </c>
      <c r="B175" s="0" t="s">
        <v>30</v>
      </c>
      <c r="C175" s="0" t="s">
        <v>133</v>
      </c>
      <c r="D175" s="0" t="s">
        <v>510</v>
      </c>
      <c r="E175" s="0" t="s">
        <v>229</v>
      </c>
      <c r="F175" s="0">
        <v>0</v>
      </c>
      <c r="G175" s="0" t="s">
        <v>106</v>
      </c>
      <c r="H175" s="0">
        <v>0</v>
      </c>
      <c r="I175" s="0">
        <v>0</v>
      </c>
      <c r="J175" s="0">
        <v>0</v>
      </c>
      <c r="K175" s="0">
        <v>0</v>
      </c>
      <c r="L175" s="0">
        <v>0</v>
      </c>
      <c r="M175" s="0">
        <v>0</v>
      </c>
      <c r="N175" s="0" t="b">
        <v>0</v>
      </c>
      <c r="O175" s="2">
        <v>44613.583333333336</v>
      </c>
      <c r="P175" s="2">
        <v>44613.625</v>
      </c>
      <c r="Q175" s="2">
        <v>44613.208333333336</v>
      </c>
      <c r="R175" s="2">
        <v>44613.25</v>
      </c>
      <c r="S175" s="0">
        <v>60</v>
      </c>
      <c r="T175" s="0">
        <v>12</v>
      </c>
      <c r="U175" s="0">
        <v>36</v>
      </c>
      <c r="V175" s="0">
        <v>388</v>
      </c>
      <c r="W175" s="1">
        <f>=HYPERLINK("10.175.1.14\MWEB.12\BT\EntityDetails.10.175.1.14.MWEB.12.-remote-back.388.xlsx", "&lt;Detail&gt;")</f>
      </c>
      <c r="X175" s="1">
        <f>=HYPERLINK("10.175.1.14\MWEB.12\BT\MetricGraphs.BT.10.175.1.14.MWEB.12.xlsx", "&lt;Metrics&gt;")</f>
      </c>
      <c r="Y175" s="1">
        <f>=HYPERLINK("10.175.1.14\MWEB.12\BT\FlameGraph.BT.10.175.1.14.MWEB.12.-remote-back.388.svg", "&lt;FlGraph&gt;")</f>
      </c>
      <c r="Z175" s="1">
        <f>=HYPERLINK("10.175.1.14\MWEB.12\BT\FlameChart.BT.10.175.1.14.MWEB.12.-remote-back.388.svg", "&lt;FlChart&gt;")</f>
      </c>
      <c r="AA175" s="0" t="s">
        <v>107</v>
      </c>
      <c r="AB175" s="0" t="s">
        <v>108</v>
      </c>
      <c r="AC175" s="0" t="s">
        <v>134</v>
      </c>
      <c r="AD175" s="0" t="s">
        <v>511</v>
      </c>
      <c r="AE175" s="0" t="s">
        <v>109</v>
      </c>
    </row>
    <row r="176">
      <c r="A176" s="0" t="s">
        <v>28</v>
      </c>
      <c r="B176" s="0" t="s">
        <v>30</v>
      </c>
      <c r="C176" s="0" t="s">
        <v>133</v>
      </c>
      <c r="D176" s="0" t="s">
        <v>512</v>
      </c>
      <c r="E176" s="0" t="s">
        <v>229</v>
      </c>
      <c r="F176" s="0">
        <v>0</v>
      </c>
      <c r="G176" s="0" t="s">
        <v>106</v>
      </c>
      <c r="H176" s="0">
        <v>0</v>
      </c>
      <c r="I176" s="0">
        <v>0</v>
      </c>
      <c r="J176" s="0">
        <v>0</v>
      </c>
      <c r="K176" s="0">
        <v>0</v>
      </c>
      <c r="L176" s="0">
        <v>0</v>
      </c>
      <c r="M176" s="0">
        <v>0</v>
      </c>
      <c r="N176" s="0" t="b">
        <v>0</v>
      </c>
      <c r="O176" s="2">
        <v>44613.583333333336</v>
      </c>
      <c r="P176" s="2">
        <v>44613.625</v>
      </c>
      <c r="Q176" s="2">
        <v>44613.208333333336</v>
      </c>
      <c r="R176" s="2">
        <v>44613.25</v>
      </c>
      <c r="S176" s="0">
        <v>60</v>
      </c>
      <c r="T176" s="0">
        <v>12</v>
      </c>
      <c r="U176" s="0">
        <v>36</v>
      </c>
      <c r="V176" s="0">
        <v>389</v>
      </c>
      <c r="W176" s="1">
        <f>=HYPERLINK("10.175.1.14\MWEB.12\BT\EntityDetails.10.175.1.14.MWEB.12.-remote-down.389.xlsx", "&lt;Detail&gt;")</f>
      </c>
      <c r="X176" s="1">
        <f>=HYPERLINK("10.175.1.14\MWEB.12\BT\MetricGraphs.BT.10.175.1.14.MWEB.12.xlsx", "&lt;Metrics&gt;")</f>
      </c>
      <c r="Y176" s="1">
        <f>=HYPERLINK("10.175.1.14\MWEB.12\BT\FlameGraph.BT.10.175.1.14.MWEB.12.-remote-down.389.svg", "&lt;FlGraph&gt;")</f>
      </c>
      <c r="Z176" s="1">
        <f>=HYPERLINK("10.175.1.14\MWEB.12\BT\FlameChart.BT.10.175.1.14.MWEB.12.-remote-down.389.svg", "&lt;FlChart&gt;")</f>
      </c>
      <c r="AA176" s="0" t="s">
        <v>107</v>
      </c>
      <c r="AB176" s="0" t="s">
        <v>108</v>
      </c>
      <c r="AC176" s="0" t="s">
        <v>134</v>
      </c>
      <c r="AD176" s="0" t="s">
        <v>513</v>
      </c>
      <c r="AE176" s="0" t="s">
        <v>109</v>
      </c>
    </row>
    <row r="177">
      <c r="A177" s="0" t="s">
        <v>28</v>
      </c>
      <c r="B177" s="0" t="s">
        <v>30</v>
      </c>
      <c r="C177" s="0" t="s">
        <v>133</v>
      </c>
      <c r="D177" s="0" t="s">
        <v>514</v>
      </c>
      <c r="E177" s="0" t="s">
        <v>229</v>
      </c>
      <c r="F177" s="0">
        <v>0</v>
      </c>
      <c r="G177" s="0" t="s">
        <v>106</v>
      </c>
      <c r="H177" s="0">
        <v>0</v>
      </c>
      <c r="I177" s="0">
        <v>0</v>
      </c>
      <c r="J177" s="0">
        <v>0</v>
      </c>
      <c r="K177" s="0">
        <v>0</v>
      </c>
      <c r="L177" s="0">
        <v>0</v>
      </c>
      <c r="M177" s="0">
        <v>0</v>
      </c>
      <c r="N177" s="0" t="b">
        <v>0</v>
      </c>
      <c r="O177" s="2">
        <v>44613.583333333336</v>
      </c>
      <c r="P177" s="2">
        <v>44613.625</v>
      </c>
      <c r="Q177" s="2">
        <v>44613.208333333336</v>
      </c>
      <c r="R177" s="2">
        <v>44613.25</v>
      </c>
      <c r="S177" s="0">
        <v>60</v>
      </c>
      <c r="T177" s="0">
        <v>12</v>
      </c>
      <c r="U177" s="0">
        <v>36</v>
      </c>
      <c r="V177" s="0">
        <v>394</v>
      </c>
      <c r="W177" s="1">
        <f>=HYPERLINK("10.175.1.14\MWEB.12\BT\EntityDetails.10.175.1.14.MWEB.12.-remote-erro.394.xlsx", "&lt;Detail&gt;")</f>
      </c>
      <c r="X177" s="1">
        <f>=HYPERLINK("10.175.1.14\MWEB.12\BT\MetricGraphs.BT.10.175.1.14.MWEB.12.xlsx", "&lt;Metrics&gt;")</f>
      </c>
      <c r="Y177" s="1">
        <f>=HYPERLINK("10.175.1.14\MWEB.12\BT\FlameGraph.BT.10.175.1.14.MWEB.12.-remote-erro.394.svg", "&lt;FlGraph&gt;")</f>
      </c>
      <c r="Z177" s="1">
        <f>=HYPERLINK("10.175.1.14\MWEB.12\BT\FlameChart.BT.10.175.1.14.MWEB.12.-remote-erro.394.svg", "&lt;FlChart&gt;")</f>
      </c>
      <c r="AA177" s="0" t="s">
        <v>107</v>
      </c>
      <c r="AB177" s="0" t="s">
        <v>108</v>
      </c>
      <c r="AC177" s="0" t="s">
        <v>134</v>
      </c>
      <c r="AD177" s="0" t="s">
        <v>515</v>
      </c>
      <c r="AE177" s="0" t="s">
        <v>109</v>
      </c>
    </row>
    <row r="178">
      <c r="A178" s="0" t="s">
        <v>28</v>
      </c>
      <c r="B178" s="0" t="s">
        <v>30</v>
      </c>
      <c r="C178" s="0" t="s">
        <v>133</v>
      </c>
      <c r="D178" s="0" t="s">
        <v>516</v>
      </c>
      <c r="E178" s="0" t="s">
        <v>229</v>
      </c>
      <c r="F178" s="0">
        <v>0</v>
      </c>
      <c r="G178" s="0" t="s">
        <v>106</v>
      </c>
      <c r="H178" s="0">
        <v>0</v>
      </c>
      <c r="I178" s="0">
        <v>0</v>
      </c>
      <c r="J178" s="0">
        <v>0</v>
      </c>
      <c r="K178" s="0">
        <v>0</v>
      </c>
      <c r="L178" s="0">
        <v>0</v>
      </c>
      <c r="M178" s="0">
        <v>0</v>
      </c>
      <c r="N178" s="0" t="b">
        <v>0</v>
      </c>
      <c r="O178" s="2">
        <v>44613.583333333336</v>
      </c>
      <c r="P178" s="2">
        <v>44613.625</v>
      </c>
      <c r="Q178" s="2">
        <v>44613.208333333336</v>
      </c>
      <c r="R178" s="2">
        <v>44613.25</v>
      </c>
      <c r="S178" s="0">
        <v>60</v>
      </c>
      <c r="T178" s="0">
        <v>12</v>
      </c>
      <c r="U178" s="0">
        <v>36</v>
      </c>
      <c r="V178" s="0">
        <v>392</v>
      </c>
      <c r="W178" s="1">
        <f>=HYPERLINK("10.175.1.14\MWEB.12\BT\EntityDetails.10.175.1.14.MWEB.12.-remote-erro.392.xlsx", "&lt;Detail&gt;")</f>
      </c>
      <c r="X178" s="1">
        <f>=HYPERLINK("10.175.1.14\MWEB.12\BT\MetricGraphs.BT.10.175.1.14.MWEB.12.xlsx", "&lt;Metrics&gt;")</f>
      </c>
      <c r="Y178" s="1">
        <f>=HYPERLINK("10.175.1.14\MWEB.12\BT\FlameGraph.BT.10.175.1.14.MWEB.12.-remote-erro.392.svg", "&lt;FlGraph&gt;")</f>
      </c>
      <c r="Z178" s="1">
        <f>=HYPERLINK("10.175.1.14\MWEB.12\BT\FlameChart.BT.10.175.1.14.MWEB.12.-remote-erro.392.svg", "&lt;FlChart&gt;")</f>
      </c>
      <c r="AA178" s="0" t="s">
        <v>107</v>
      </c>
      <c r="AB178" s="0" t="s">
        <v>108</v>
      </c>
      <c r="AC178" s="0" t="s">
        <v>134</v>
      </c>
      <c r="AD178" s="0" t="s">
        <v>517</v>
      </c>
      <c r="AE178" s="0" t="s">
        <v>109</v>
      </c>
    </row>
    <row r="179">
      <c r="A179" s="0" t="s">
        <v>28</v>
      </c>
      <c r="B179" s="0" t="s">
        <v>30</v>
      </c>
      <c r="C179" s="0" t="s">
        <v>133</v>
      </c>
      <c r="D179" s="0" t="s">
        <v>518</v>
      </c>
      <c r="E179" s="0" t="s">
        <v>229</v>
      </c>
      <c r="F179" s="0">
        <v>0</v>
      </c>
      <c r="G179" s="0" t="s">
        <v>106</v>
      </c>
      <c r="H179" s="0">
        <v>0</v>
      </c>
      <c r="I179" s="0">
        <v>0</v>
      </c>
      <c r="J179" s="0">
        <v>0</v>
      </c>
      <c r="K179" s="0">
        <v>0</v>
      </c>
      <c r="L179" s="0">
        <v>0</v>
      </c>
      <c r="M179" s="0">
        <v>0</v>
      </c>
      <c r="N179" s="0" t="b">
        <v>0</v>
      </c>
      <c r="O179" s="2">
        <v>44613.583333333336</v>
      </c>
      <c r="P179" s="2">
        <v>44613.625</v>
      </c>
      <c r="Q179" s="2">
        <v>44613.208333333336</v>
      </c>
      <c r="R179" s="2">
        <v>44613.25</v>
      </c>
      <c r="S179" s="0">
        <v>60</v>
      </c>
      <c r="T179" s="0">
        <v>12</v>
      </c>
      <c r="U179" s="0">
        <v>36</v>
      </c>
      <c r="V179" s="0">
        <v>393</v>
      </c>
      <c r="W179" s="1">
        <f>=HYPERLINK("10.175.1.14\MWEB.12\BT\EntityDetails.10.175.1.14.MWEB.12.-remote-erro.393.xlsx", "&lt;Detail&gt;")</f>
      </c>
      <c r="X179" s="1">
        <f>=HYPERLINK("10.175.1.14\MWEB.12\BT\MetricGraphs.BT.10.175.1.14.MWEB.12.xlsx", "&lt;Metrics&gt;")</f>
      </c>
      <c r="Y179" s="1">
        <f>=HYPERLINK("10.175.1.14\MWEB.12\BT\FlameGraph.BT.10.175.1.14.MWEB.12.-remote-erro.393.svg", "&lt;FlGraph&gt;")</f>
      </c>
      <c r="Z179" s="1">
        <f>=HYPERLINK("10.175.1.14\MWEB.12\BT\FlameChart.BT.10.175.1.14.MWEB.12.-remote-erro.393.svg", "&lt;FlChart&gt;")</f>
      </c>
      <c r="AA179" s="0" t="s">
        <v>107</v>
      </c>
      <c r="AB179" s="0" t="s">
        <v>108</v>
      </c>
      <c r="AC179" s="0" t="s">
        <v>134</v>
      </c>
      <c r="AD179" s="0" t="s">
        <v>519</v>
      </c>
      <c r="AE179" s="0" t="s">
        <v>109</v>
      </c>
    </row>
    <row r="180">
      <c r="A180" s="0" t="s">
        <v>28</v>
      </c>
      <c r="B180" s="0" t="s">
        <v>30</v>
      </c>
      <c r="C180" s="0" t="s">
        <v>133</v>
      </c>
      <c r="D180" s="0" t="s">
        <v>520</v>
      </c>
      <c r="E180" s="0" t="s">
        <v>229</v>
      </c>
      <c r="F180" s="0">
        <v>0</v>
      </c>
      <c r="G180" s="0" t="s">
        <v>106</v>
      </c>
      <c r="H180" s="0">
        <v>0</v>
      </c>
      <c r="I180" s="0">
        <v>0</v>
      </c>
      <c r="J180" s="0">
        <v>0</v>
      </c>
      <c r="K180" s="0">
        <v>0</v>
      </c>
      <c r="L180" s="0">
        <v>0</v>
      </c>
      <c r="M180" s="0">
        <v>0</v>
      </c>
      <c r="N180" s="0" t="b">
        <v>0</v>
      </c>
      <c r="O180" s="2">
        <v>44613.583333333336</v>
      </c>
      <c r="P180" s="2">
        <v>44613.625</v>
      </c>
      <c r="Q180" s="2">
        <v>44613.208333333336</v>
      </c>
      <c r="R180" s="2">
        <v>44613.25</v>
      </c>
      <c r="S180" s="0">
        <v>60</v>
      </c>
      <c r="T180" s="0">
        <v>12</v>
      </c>
      <c r="U180" s="0">
        <v>36</v>
      </c>
      <c r="V180" s="0">
        <v>319</v>
      </c>
      <c r="W180" s="1">
        <f>=HYPERLINK("10.175.1.14\MWEB.12\BT\EntityDetails.10.175.1.14.MWEB.12.-remote-stat.319.xlsx", "&lt;Detail&gt;")</f>
      </c>
      <c r="X180" s="1">
        <f>=HYPERLINK("10.175.1.14\MWEB.12\BT\MetricGraphs.BT.10.175.1.14.MWEB.12.xlsx", "&lt;Metrics&gt;")</f>
      </c>
      <c r="Y180" s="1">
        <f>=HYPERLINK("10.175.1.14\MWEB.12\BT\FlameGraph.BT.10.175.1.14.MWEB.12.-remote-stat.319.svg", "&lt;FlGraph&gt;")</f>
      </c>
      <c r="Z180" s="1">
        <f>=HYPERLINK("10.175.1.14\MWEB.12\BT\FlameChart.BT.10.175.1.14.MWEB.12.-remote-stat.319.svg", "&lt;FlChart&gt;")</f>
      </c>
      <c r="AA180" s="0" t="s">
        <v>107</v>
      </c>
      <c r="AB180" s="0" t="s">
        <v>108</v>
      </c>
      <c r="AC180" s="0" t="s">
        <v>134</v>
      </c>
      <c r="AD180" s="0" t="s">
        <v>521</v>
      </c>
      <c r="AE180" s="0" t="s">
        <v>109</v>
      </c>
    </row>
    <row r="181">
      <c r="A181" s="0" t="s">
        <v>28</v>
      </c>
      <c r="B181" s="0" t="s">
        <v>30</v>
      </c>
      <c r="C181" s="0" t="s">
        <v>133</v>
      </c>
      <c r="D181" s="0" t="s">
        <v>522</v>
      </c>
      <c r="E181" s="0" t="s">
        <v>229</v>
      </c>
      <c r="F181" s="0">
        <v>0</v>
      </c>
      <c r="G181" s="0" t="s">
        <v>106</v>
      </c>
      <c r="H181" s="0">
        <v>0</v>
      </c>
      <c r="I181" s="0">
        <v>0</v>
      </c>
      <c r="J181" s="0">
        <v>0</v>
      </c>
      <c r="K181" s="0">
        <v>0</v>
      </c>
      <c r="L181" s="0">
        <v>0</v>
      </c>
      <c r="M181" s="0">
        <v>0</v>
      </c>
      <c r="N181" s="0" t="b">
        <v>0</v>
      </c>
      <c r="O181" s="2">
        <v>44613.583333333336</v>
      </c>
      <c r="P181" s="2">
        <v>44613.625</v>
      </c>
      <c r="Q181" s="2">
        <v>44613.208333333336</v>
      </c>
      <c r="R181" s="2">
        <v>44613.25</v>
      </c>
      <c r="S181" s="0">
        <v>60</v>
      </c>
      <c r="T181" s="0">
        <v>12</v>
      </c>
      <c r="U181" s="0">
        <v>36</v>
      </c>
      <c r="V181" s="0">
        <v>390</v>
      </c>
      <c r="W181" s="1">
        <f>=HYPERLINK("10.175.1.14\MWEB.12\BT\EntityDetails.10.175.1.14.MWEB.12.-remote-uplo.390.xlsx", "&lt;Detail&gt;")</f>
      </c>
      <c r="X181" s="1">
        <f>=HYPERLINK("10.175.1.14\MWEB.12\BT\MetricGraphs.BT.10.175.1.14.MWEB.12.xlsx", "&lt;Metrics&gt;")</f>
      </c>
      <c r="Y181" s="1">
        <f>=HYPERLINK("10.175.1.14\MWEB.12\BT\FlameGraph.BT.10.175.1.14.MWEB.12.-remote-uplo.390.svg", "&lt;FlGraph&gt;")</f>
      </c>
      <c r="Z181" s="1">
        <f>=HYPERLINK("10.175.1.14\MWEB.12\BT\FlameChart.BT.10.175.1.14.MWEB.12.-remote-uplo.390.svg", "&lt;FlChart&gt;")</f>
      </c>
      <c r="AA181" s="0" t="s">
        <v>107</v>
      </c>
      <c r="AB181" s="0" t="s">
        <v>108</v>
      </c>
      <c r="AC181" s="0" t="s">
        <v>134</v>
      </c>
      <c r="AD181" s="0" t="s">
        <v>523</v>
      </c>
      <c r="AE181" s="0" t="s">
        <v>109</v>
      </c>
    </row>
    <row r="182">
      <c r="A182" s="0" t="s">
        <v>28</v>
      </c>
      <c r="B182" s="0" t="s">
        <v>30</v>
      </c>
      <c r="C182" s="0" t="s">
        <v>161</v>
      </c>
      <c r="D182" s="0" t="s">
        <v>524</v>
      </c>
      <c r="E182" s="0" t="s">
        <v>223</v>
      </c>
      <c r="F182" s="0">
        <v>0</v>
      </c>
      <c r="G182" s="0" t="s">
        <v>106</v>
      </c>
      <c r="H182" s="0">
        <v>0</v>
      </c>
      <c r="I182" s="0">
        <v>0</v>
      </c>
      <c r="J182" s="0">
        <v>0</v>
      </c>
      <c r="K182" s="0">
        <v>0</v>
      </c>
      <c r="L182" s="0">
        <v>0</v>
      </c>
      <c r="M182" s="0">
        <v>0</v>
      </c>
      <c r="N182" s="0" t="b">
        <v>0</v>
      </c>
      <c r="O182" s="2">
        <v>44613.583333333336</v>
      </c>
      <c r="P182" s="2">
        <v>44613.625</v>
      </c>
      <c r="Q182" s="2">
        <v>44613.208333333336</v>
      </c>
      <c r="R182" s="2">
        <v>44613.25</v>
      </c>
      <c r="S182" s="0">
        <v>60</v>
      </c>
      <c r="T182" s="0">
        <v>12</v>
      </c>
      <c r="U182" s="0">
        <v>48</v>
      </c>
      <c r="V182" s="0">
        <v>931</v>
      </c>
      <c r="W182" s="1">
        <f>=HYPERLINK("10.175.1.14\MWEB.12\BT\EntityDetails.10.175.1.14.MWEB.12.-servlet-Sno.931.xlsx", "&lt;Detail&gt;")</f>
      </c>
      <c r="X182" s="1">
        <f>=HYPERLINK("10.175.1.14\MWEB.12\BT\MetricGraphs.BT.10.175.1.14.MWEB.12.xlsx", "&lt;Metrics&gt;")</f>
      </c>
      <c r="Y182" s="1">
        <f>=HYPERLINK("10.175.1.14\MWEB.12\BT\FlameGraph.BT.10.175.1.14.MWEB.12.-servlet-Sno.931.svg", "&lt;FlGraph&gt;")</f>
      </c>
      <c r="Z182" s="1">
        <f>=HYPERLINK("10.175.1.14\MWEB.12\BT\FlameChart.BT.10.175.1.14.MWEB.12.-servlet-Sno.931.svg", "&lt;FlChart&gt;")</f>
      </c>
      <c r="AA182" s="0" t="s">
        <v>107</v>
      </c>
      <c r="AB182" s="0" t="s">
        <v>108</v>
      </c>
      <c r="AC182" s="0" t="s">
        <v>162</v>
      </c>
      <c r="AD182" s="0" t="s">
        <v>525</v>
      </c>
      <c r="AE182" s="0" t="s">
        <v>109</v>
      </c>
    </row>
    <row r="183">
      <c r="A183" s="0" t="s">
        <v>28</v>
      </c>
      <c r="B183" s="0" t="s">
        <v>30</v>
      </c>
      <c r="C183" s="0" t="s">
        <v>161</v>
      </c>
      <c r="D183" s="0" t="s">
        <v>526</v>
      </c>
      <c r="E183" s="0" t="s">
        <v>223</v>
      </c>
      <c r="F183" s="0">
        <v>0</v>
      </c>
      <c r="G183" s="0" t="s">
        <v>106</v>
      </c>
      <c r="H183" s="0">
        <v>0</v>
      </c>
      <c r="I183" s="0">
        <v>0</v>
      </c>
      <c r="J183" s="0">
        <v>0</v>
      </c>
      <c r="K183" s="0">
        <v>0</v>
      </c>
      <c r="L183" s="0">
        <v>0</v>
      </c>
      <c r="M183" s="0">
        <v>0</v>
      </c>
      <c r="N183" s="0" t="b">
        <v>0</v>
      </c>
      <c r="O183" s="2">
        <v>44613.583333333336</v>
      </c>
      <c r="P183" s="2">
        <v>44613.625</v>
      </c>
      <c r="Q183" s="2">
        <v>44613.208333333336</v>
      </c>
      <c r="R183" s="2">
        <v>44613.25</v>
      </c>
      <c r="S183" s="0">
        <v>60</v>
      </c>
      <c r="T183" s="0">
        <v>12</v>
      </c>
      <c r="U183" s="0">
        <v>48</v>
      </c>
      <c r="V183" s="0">
        <v>928</v>
      </c>
      <c r="W183" s="1">
        <f>=HYPERLINK("10.175.1.14\MWEB.12\BT\EntityDetails.10.175.1.14.MWEB.12.-SnoopServle.928.xlsx", "&lt;Detail&gt;")</f>
      </c>
      <c r="X183" s="1">
        <f>=HYPERLINK("10.175.1.14\MWEB.12\BT\MetricGraphs.BT.10.175.1.14.MWEB.12.xlsx", "&lt;Metrics&gt;")</f>
      </c>
      <c r="Y183" s="1">
        <f>=HYPERLINK("10.175.1.14\MWEB.12\BT\FlameGraph.BT.10.175.1.14.MWEB.12.-SnoopServle.928.svg", "&lt;FlGraph&gt;")</f>
      </c>
      <c r="Z183" s="1">
        <f>=HYPERLINK("10.175.1.14\MWEB.12\BT\FlameChart.BT.10.175.1.14.MWEB.12.-SnoopServle.928.svg", "&lt;FlChart&gt;")</f>
      </c>
      <c r="AA183" s="0" t="s">
        <v>107</v>
      </c>
      <c r="AB183" s="0" t="s">
        <v>108</v>
      </c>
      <c r="AC183" s="0" t="s">
        <v>162</v>
      </c>
      <c r="AD183" s="0" t="s">
        <v>527</v>
      </c>
      <c r="AE183" s="0" t="s">
        <v>109</v>
      </c>
    </row>
    <row r="184">
      <c r="A184" s="0" t="s">
        <v>28</v>
      </c>
      <c r="B184" s="0" t="s">
        <v>30</v>
      </c>
      <c r="C184" s="0" t="s">
        <v>137</v>
      </c>
      <c r="D184" s="0" t="s">
        <v>528</v>
      </c>
      <c r="E184" s="0" t="s">
        <v>229</v>
      </c>
      <c r="F184" s="0">
        <v>0</v>
      </c>
      <c r="G184" s="0" t="s">
        <v>106</v>
      </c>
      <c r="H184" s="0">
        <v>0</v>
      </c>
      <c r="I184" s="0">
        <v>0</v>
      </c>
      <c r="J184" s="0">
        <v>0</v>
      </c>
      <c r="K184" s="0">
        <v>0</v>
      </c>
      <c r="L184" s="0">
        <v>0</v>
      </c>
      <c r="M184" s="0">
        <v>0</v>
      </c>
      <c r="N184" s="0" t="b">
        <v>0</v>
      </c>
      <c r="O184" s="2">
        <v>44613.583333333336</v>
      </c>
      <c r="P184" s="2">
        <v>44613.625</v>
      </c>
      <c r="Q184" s="2">
        <v>44613.208333333336</v>
      </c>
      <c r="R184" s="2">
        <v>44613.25</v>
      </c>
      <c r="S184" s="0">
        <v>60</v>
      </c>
      <c r="T184" s="0">
        <v>12</v>
      </c>
      <c r="U184" s="0">
        <v>38</v>
      </c>
      <c r="V184" s="0">
        <v>205</v>
      </c>
      <c r="W184" s="1">
        <f>=HYPERLINK("10.175.1.14\MWEB.12\BT\EntityDetails.10.175.1.14.MWEB.12.-stub-dummy.205.xlsx", "&lt;Detail&gt;")</f>
      </c>
      <c r="X184" s="1">
        <f>=HYPERLINK("10.175.1.14\MWEB.12\BT\MetricGraphs.BT.10.175.1.14.MWEB.12.xlsx", "&lt;Metrics&gt;")</f>
      </c>
      <c r="Y184" s="1">
        <f>=HYPERLINK("10.175.1.14\MWEB.12\BT\FlameGraph.BT.10.175.1.14.MWEB.12.-stub-dummy.205.svg", "&lt;FlGraph&gt;")</f>
      </c>
      <c r="Z184" s="1">
        <f>=HYPERLINK("10.175.1.14\MWEB.12\BT\FlameChart.BT.10.175.1.14.MWEB.12.-stub-dummy.205.svg", "&lt;FlChart&gt;")</f>
      </c>
      <c r="AA184" s="0" t="s">
        <v>107</v>
      </c>
      <c r="AB184" s="0" t="s">
        <v>108</v>
      </c>
      <c r="AC184" s="0" t="s">
        <v>138</v>
      </c>
      <c r="AD184" s="0" t="s">
        <v>529</v>
      </c>
      <c r="AE184" s="0" t="s">
        <v>109</v>
      </c>
    </row>
    <row r="185">
      <c r="A185" s="0" t="s">
        <v>28</v>
      </c>
      <c r="B185" s="0" t="s">
        <v>30</v>
      </c>
      <c r="C185" s="0" t="s">
        <v>161</v>
      </c>
      <c r="D185" s="0" t="s">
        <v>530</v>
      </c>
      <c r="E185" s="0" t="s">
        <v>223</v>
      </c>
      <c r="F185" s="0">
        <v>0</v>
      </c>
      <c r="G185" s="0" t="s">
        <v>106</v>
      </c>
      <c r="H185" s="0">
        <v>0</v>
      </c>
      <c r="I185" s="0">
        <v>0</v>
      </c>
      <c r="J185" s="0">
        <v>0</v>
      </c>
      <c r="K185" s="0">
        <v>0</v>
      </c>
      <c r="L185" s="0">
        <v>0</v>
      </c>
      <c r="M185" s="0">
        <v>0</v>
      </c>
      <c r="N185" s="0" t="b">
        <v>0</v>
      </c>
      <c r="O185" s="2">
        <v>44613.583333333336</v>
      </c>
      <c r="P185" s="2">
        <v>44613.625</v>
      </c>
      <c r="Q185" s="2">
        <v>44613.208333333336</v>
      </c>
      <c r="R185" s="2">
        <v>44613.25</v>
      </c>
      <c r="S185" s="0">
        <v>60</v>
      </c>
      <c r="T185" s="0">
        <v>12</v>
      </c>
      <c r="U185" s="0">
        <v>48</v>
      </c>
      <c r="V185" s="0">
        <v>934</v>
      </c>
      <c r="W185" s="1">
        <f>=HYPERLINK("10.175.1.14\MWEB.12\BT\EntityDetails.10.175.1.14.MWEB.12.-tmui-.934.xlsx", "&lt;Detail&gt;")</f>
      </c>
      <c r="X185" s="1">
        <f>=HYPERLINK("10.175.1.14\MWEB.12\BT\MetricGraphs.BT.10.175.1.14.MWEB.12.xlsx", "&lt;Metrics&gt;")</f>
      </c>
      <c r="Y185" s="1">
        <f>=HYPERLINK("10.175.1.14\MWEB.12\BT\FlameGraph.BT.10.175.1.14.MWEB.12.-tmui-.934.svg", "&lt;FlGraph&gt;")</f>
      </c>
      <c r="Z185" s="1">
        <f>=HYPERLINK("10.175.1.14\MWEB.12\BT\FlameChart.BT.10.175.1.14.MWEB.12.-tmui-.934.svg", "&lt;FlChart&gt;")</f>
      </c>
      <c r="AA185" s="0" t="s">
        <v>107</v>
      </c>
      <c r="AB185" s="0" t="s">
        <v>108</v>
      </c>
      <c r="AC185" s="0" t="s">
        <v>162</v>
      </c>
      <c r="AD185" s="0" t="s">
        <v>531</v>
      </c>
      <c r="AE185" s="0" t="s">
        <v>109</v>
      </c>
    </row>
    <row r="186">
      <c r="A186" s="0" t="s">
        <v>28</v>
      </c>
      <c r="B186" s="0" t="s">
        <v>30</v>
      </c>
      <c r="C186" s="0" t="s">
        <v>125</v>
      </c>
      <c r="D186" s="0" t="s">
        <v>532</v>
      </c>
      <c r="E186" s="0" t="s">
        <v>229</v>
      </c>
      <c r="F186" s="0">
        <v>0</v>
      </c>
      <c r="G186" s="0" t="s">
        <v>106</v>
      </c>
      <c r="H186" s="0">
        <v>0</v>
      </c>
      <c r="I186" s="0">
        <v>0</v>
      </c>
      <c r="J186" s="0">
        <v>0</v>
      </c>
      <c r="K186" s="0">
        <v>0</v>
      </c>
      <c r="L186" s="0">
        <v>0</v>
      </c>
      <c r="M186" s="0">
        <v>0</v>
      </c>
      <c r="N186" s="0" t="b">
        <v>0</v>
      </c>
      <c r="O186" s="2">
        <v>44613.583333333336</v>
      </c>
      <c r="P186" s="2">
        <v>44613.625</v>
      </c>
      <c r="Q186" s="2">
        <v>44613.208333333336</v>
      </c>
      <c r="R186" s="2">
        <v>44613.25</v>
      </c>
      <c r="S186" s="0">
        <v>60</v>
      </c>
      <c r="T186" s="0">
        <v>12</v>
      </c>
      <c r="U186" s="0">
        <v>42</v>
      </c>
      <c r="V186" s="0">
        <v>409</v>
      </c>
      <c r="W186" s="1">
        <f>=HYPERLINK("10.175.1.14\MWEB.12\BT\EntityDetails.10.175.1.14.MWEB.12.-WEB-INF-jsp.409.xlsx", "&lt;Detail&gt;")</f>
      </c>
      <c r="X186" s="1">
        <f>=HYPERLINK("10.175.1.14\MWEB.12\BT\MetricGraphs.BT.10.175.1.14.MWEB.12.xlsx", "&lt;Metrics&gt;")</f>
      </c>
      <c r="Y186" s="1">
        <f>=HYPERLINK("10.175.1.14\MWEB.12\BT\FlameGraph.BT.10.175.1.14.MWEB.12.-WEB-INF-jsp.409.svg", "&lt;FlGraph&gt;")</f>
      </c>
      <c r="Z186" s="1">
        <f>=HYPERLINK("10.175.1.14\MWEB.12\BT\FlameChart.BT.10.175.1.14.MWEB.12.-WEB-INF-jsp.409.svg", "&lt;FlChart&gt;")</f>
      </c>
      <c r="AA186" s="0" t="s">
        <v>107</v>
      </c>
      <c r="AB186" s="0" t="s">
        <v>108</v>
      </c>
      <c r="AC186" s="0" t="s">
        <v>126</v>
      </c>
      <c r="AD186" s="0" t="s">
        <v>533</v>
      </c>
      <c r="AE186" s="0" t="s">
        <v>109</v>
      </c>
    </row>
    <row r="187">
      <c r="A187" s="0" t="s">
        <v>28</v>
      </c>
      <c r="B187" s="0" t="s">
        <v>30</v>
      </c>
      <c r="C187" s="0" t="s">
        <v>147</v>
      </c>
      <c r="D187" s="0" t="s">
        <v>532</v>
      </c>
      <c r="E187" s="0" t="s">
        <v>229</v>
      </c>
      <c r="F187" s="0">
        <v>0</v>
      </c>
      <c r="G187" s="0" t="s">
        <v>106</v>
      </c>
      <c r="H187" s="0">
        <v>0</v>
      </c>
      <c r="I187" s="0">
        <v>0</v>
      </c>
      <c r="J187" s="0">
        <v>0</v>
      </c>
      <c r="K187" s="0">
        <v>0</v>
      </c>
      <c r="L187" s="0">
        <v>0</v>
      </c>
      <c r="M187" s="0">
        <v>0</v>
      </c>
      <c r="N187" s="0" t="b">
        <v>0</v>
      </c>
      <c r="O187" s="2">
        <v>44613.583333333336</v>
      </c>
      <c r="P187" s="2">
        <v>44613.625</v>
      </c>
      <c r="Q187" s="2">
        <v>44613.208333333336</v>
      </c>
      <c r="R187" s="2">
        <v>44613.25</v>
      </c>
      <c r="S187" s="0">
        <v>60</v>
      </c>
      <c r="T187" s="0">
        <v>12</v>
      </c>
      <c r="U187" s="0">
        <v>49</v>
      </c>
      <c r="V187" s="0">
        <v>793</v>
      </c>
      <c r="W187" s="1">
        <f>=HYPERLINK("10.175.1.14\MWEB.12\BT\EntityDetails.10.175.1.14.MWEB.12.-WEB-INF-jsp.793.xlsx", "&lt;Detail&gt;")</f>
      </c>
      <c r="X187" s="1">
        <f>=HYPERLINK("10.175.1.14\MWEB.12\BT\MetricGraphs.BT.10.175.1.14.MWEB.12.xlsx", "&lt;Metrics&gt;")</f>
      </c>
      <c r="Y187" s="1">
        <f>=HYPERLINK("10.175.1.14\MWEB.12\BT\FlameGraph.BT.10.175.1.14.MWEB.12.-WEB-INF-jsp.793.svg", "&lt;FlGraph&gt;")</f>
      </c>
      <c r="Z187" s="1">
        <f>=HYPERLINK("10.175.1.14\MWEB.12\BT\FlameChart.BT.10.175.1.14.MWEB.12.-WEB-INF-jsp.793.svg", "&lt;FlChart&gt;")</f>
      </c>
      <c r="AA187" s="0" t="s">
        <v>107</v>
      </c>
      <c r="AB187" s="0" t="s">
        <v>108</v>
      </c>
      <c r="AC187" s="0" t="s">
        <v>148</v>
      </c>
      <c r="AD187" s="0" t="s">
        <v>534</v>
      </c>
      <c r="AE187" s="0" t="s">
        <v>109</v>
      </c>
    </row>
    <row r="188">
      <c r="A188" s="0" t="s">
        <v>28</v>
      </c>
      <c r="B188" s="0" t="s">
        <v>30</v>
      </c>
      <c r="C188" s="0" t="s">
        <v>127</v>
      </c>
      <c r="D188" s="0" t="s">
        <v>535</v>
      </c>
      <c r="E188" s="0" t="s">
        <v>229</v>
      </c>
      <c r="F188" s="0">
        <v>0</v>
      </c>
      <c r="G188" s="0" t="s">
        <v>106</v>
      </c>
      <c r="H188" s="0">
        <v>0</v>
      </c>
      <c r="I188" s="0">
        <v>0</v>
      </c>
      <c r="J188" s="0">
        <v>0</v>
      </c>
      <c r="K188" s="0">
        <v>0</v>
      </c>
      <c r="L188" s="0">
        <v>0</v>
      </c>
      <c r="M188" s="0">
        <v>0</v>
      </c>
      <c r="N188" s="0" t="b">
        <v>0</v>
      </c>
      <c r="O188" s="2">
        <v>44613.583333333336</v>
      </c>
      <c r="P188" s="2">
        <v>44613.625</v>
      </c>
      <c r="Q188" s="2">
        <v>44613.208333333336</v>
      </c>
      <c r="R188" s="2">
        <v>44613.25</v>
      </c>
      <c r="S188" s="0">
        <v>60</v>
      </c>
      <c r="T188" s="0">
        <v>12</v>
      </c>
      <c r="U188" s="0">
        <v>39</v>
      </c>
      <c r="V188" s="0">
        <v>174</v>
      </c>
      <c r="W188" s="1">
        <f>=HYPERLINK("10.175.1.14\MWEB.12\BT\EntityDetails.10.175.1.14.MWEB.12.-wins-inet.174.xlsx", "&lt;Detail&gt;")</f>
      </c>
      <c r="X188" s="1">
        <f>=HYPERLINK("10.175.1.14\MWEB.12\BT\MetricGraphs.BT.10.175.1.14.MWEB.12.xlsx", "&lt;Metrics&gt;")</f>
      </c>
      <c r="Y188" s="1">
        <f>=HYPERLINK("10.175.1.14\MWEB.12\BT\FlameGraph.BT.10.175.1.14.MWEB.12.-wins-inet.174.svg", "&lt;FlGraph&gt;")</f>
      </c>
      <c r="Z188" s="1">
        <f>=HYPERLINK("10.175.1.14\MWEB.12\BT\FlameChart.BT.10.175.1.14.MWEB.12.-wins-inet.174.svg", "&lt;FlChart&gt;")</f>
      </c>
      <c r="AA188" s="0" t="s">
        <v>107</v>
      </c>
      <c r="AB188" s="0" t="s">
        <v>108</v>
      </c>
      <c r="AC188" s="0" t="s">
        <v>128</v>
      </c>
      <c r="AD188" s="0" t="s">
        <v>536</v>
      </c>
      <c r="AE188" s="0" t="s">
        <v>109</v>
      </c>
    </row>
    <row r="189">
      <c r="A189" s="0" t="s">
        <v>28</v>
      </c>
      <c r="B189" s="0" t="s">
        <v>30</v>
      </c>
      <c r="C189" s="0" t="s">
        <v>127</v>
      </c>
      <c r="D189" s="0" t="s">
        <v>537</v>
      </c>
      <c r="E189" s="0" t="s">
        <v>229</v>
      </c>
      <c r="F189" s="0">
        <v>0</v>
      </c>
      <c r="G189" s="0" t="s">
        <v>106</v>
      </c>
      <c r="H189" s="0">
        <v>0</v>
      </c>
      <c r="I189" s="0">
        <v>0</v>
      </c>
      <c r="J189" s="0">
        <v>0</v>
      </c>
      <c r="K189" s="0">
        <v>0</v>
      </c>
      <c r="L189" s="0">
        <v>0</v>
      </c>
      <c r="M189" s="0">
        <v>0</v>
      </c>
      <c r="N189" s="0" t="b">
        <v>0</v>
      </c>
      <c r="O189" s="2">
        <v>44613.583333333336</v>
      </c>
      <c r="P189" s="2">
        <v>44613.625</v>
      </c>
      <c r="Q189" s="2">
        <v>44613.208333333336</v>
      </c>
      <c r="R189" s="2">
        <v>44613.25</v>
      </c>
      <c r="S189" s="0">
        <v>60</v>
      </c>
      <c r="T189" s="0">
        <v>12</v>
      </c>
      <c r="U189" s="0">
        <v>39</v>
      </c>
      <c r="V189" s="0">
        <v>128</v>
      </c>
      <c r="W189" s="1">
        <f>=HYPERLINK("10.175.1.14\MWEB.12\BT\EntityDetails.10.175.1.14.MWEB.12.-wins-inquir.128.xlsx", "&lt;Detail&gt;")</f>
      </c>
      <c r="X189" s="1">
        <f>=HYPERLINK("10.175.1.14\MWEB.12\BT\MetricGraphs.BT.10.175.1.14.MWEB.12.xlsx", "&lt;Metrics&gt;")</f>
      </c>
      <c r="Y189" s="1">
        <f>=HYPERLINK("10.175.1.14\MWEB.12\BT\FlameGraph.BT.10.175.1.14.MWEB.12.-wins-inquir.128.svg", "&lt;FlGraph&gt;")</f>
      </c>
      <c r="Z189" s="1">
        <f>=HYPERLINK("10.175.1.14\MWEB.12\BT\FlameChart.BT.10.175.1.14.MWEB.12.-wins-inquir.128.svg", "&lt;FlChart&gt;")</f>
      </c>
      <c r="AA189" s="0" t="s">
        <v>107</v>
      </c>
      <c r="AB189" s="0" t="s">
        <v>108</v>
      </c>
      <c r="AC189" s="0" t="s">
        <v>128</v>
      </c>
      <c r="AD189" s="0" t="s">
        <v>538</v>
      </c>
      <c r="AE189" s="0" t="s">
        <v>109</v>
      </c>
    </row>
    <row r="190">
      <c r="A190" s="0" t="s">
        <v>28</v>
      </c>
      <c r="B190" s="0" t="s">
        <v>30</v>
      </c>
      <c r="C190" s="0" t="s">
        <v>127</v>
      </c>
      <c r="D190" s="0" t="s">
        <v>539</v>
      </c>
      <c r="E190" s="0" t="s">
        <v>229</v>
      </c>
      <c r="F190" s="0">
        <v>0</v>
      </c>
      <c r="G190" s="0" t="s">
        <v>106</v>
      </c>
      <c r="H190" s="0">
        <v>0</v>
      </c>
      <c r="I190" s="0">
        <v>0</v>
      </c>
      <c r="J190" s="0">
        <v>0</v>
      </c>
      <c r="K190" s="0">
        <v>0</v>
      </c>
      <c r="L190" s="0">
        <v>0</v>
      </c>
      <c r="M190" s="0">
        <v>0</v>
      </c>
      <c r="N190" s="0" t="b">
        <v>0</v>
      </c>
      <c r="O190" s="2">
        <v>44613.583333333336</v>
      </c>
      <c r="P190" s="2">
        <v>44613.625</v>
      </c>
      <c r="Q190" s="2">
        <v>44613.208333333336</v>
      </c>
      <c r="R190" s="2">
        <v>44613.25</v>
      </c>
      <c r="S190" s="0">
        <v>60</v>
      </c>
      <c r="T190" s="0">
        <v>12</v>
      </c>
      <c r="U190" s="0">
        <v>39</v>
      </c>
      <c r="V190" s="0">
        <v>125</v>
      </c>
      <c r="W190" s="1">
        <f>=HYPERLINK("10.175.1.14\MWEB.12\BT\EntityDetails.10.175.1.14.MWEB.12.-wins-login.125.xlsx", "&lt;Detail&gt;")</f>
      </c>
      <c r="X190" s="1">
        <f>=HYPERLINK("10.175.1.14\MWEB.12\BT\MetricGraphs.BT.10.175.1.14.MWEB.12.xlsx", "&lt;Metrics&gt;")</f>
      </c>
      <c r="Y190" s="1">
        <f>=HYPERLINK("10.175.1.14\MWEB.12\BT\FlameGraph.BT.10.175.1.14.MWEB.12.-wins-login.125.svg", "&lt;FlGraph&gt;")</f>
      </c>
      <c r="Z190" s="1">
        <f>=HYPERLINK("10.175.1.14\MWEB.12\BT\FlameChart.BT.10.175.1.14.MWEB.12.-wins-login.125.svg", "&lt;FlChart&gt;")</f>
      </c>
      <c r="AA190" s="0" t="s">
        <v>107</v>
      </c>
      <c r="AB190" s="0" t="s">
        <v>108</v>
      </c>
      <c r="AC190" s="0" t="s">
        <v>128</v>
      </c>
      <c r="AD190" s="0" t="s">
        <v>540</v>
      </c>
      <c r="AE190" s="0" t="s">
        <v>109</v>
      </c>
    </row>
    <row r="191">
      <c r="A191" s="0" t="s">
        <v>28</v>
      </c>
      <c r="B191" s="0" t="s">
        <v>30</v>
      </c>
      <c r="C191" s="0" t="s">
        <v>127</v>
      </c>
      <c r="D191" s="0" t="s">
        <v>541</v>
      </c>
      <c r="E191" s="0" t="s">
        <v>229</v>
      </c>
      <c r="F191" s="0">
        <v>0</v>
      </c>
      <c r="G191" s="0" t="s">
        <v>106</v>
      </c>
      <c r="H191" s="0">
        <v>0</v>
      </c>
      <c r="I191" s="0">
        <v>0</v>
      </c>
      <c r="J191" s="0">
        <v>0</v>
      </c>
      <c r="K191" s="0">
        <v>0</v>
      </c>
      <c r="L191" s="0">
        <v>0</v>
      </c>
      <c r="M191" s="0">
        <v>0</v>
      </c>
      <c r="N191" s="0" t="b">
        <v>0</v>
      </c>
      <c r="O191" s="2">
        <v>44613.583333333336</v>
      </c>
      <c r="P191" s="2">
        <v>44613.625</v>
      </c>
      <c r="Q191" s="2">
        <v>44613.208333333336</v>
      </c>
      <c r="R191" s="2">
        <v>44613.25</v>
      </c>
      <c r="S191" s="0">
        <v>60</v>
      </c>
      <c r="T191" s="0">
        <v>12</v>
      </c>
      <c r="U191" s="0">
        <v>39</v>
      </c>
      <c r="V191" s="0">
        <v>127</v>
      </c>
      <c r="W191" s="1">
        <f>=HYPERLINK("10.175.1.14\MWEB.12\BT\EntityDetails.10.175.1.14.MWEB.12.-wins-passwo.127.xlsx", "&lt;Detail&gt;")</f>
      </c>
      <c r="X191" s="1">
        <f>=HYPERLINK("10.175.1.14\MWEB.12\BT\MetricGraphs.BT.10.175.1.14.MWEB.12.xlsx", "&lt;Metrics&gt;")</f>
      </c>
      <c r="Y191" s="1">
        <f>=HYPERLINK("10.175.1.14\MWEB.12\BT\FlameGraph.BT.10.175.1.14.MWEB.12.-wins-passwo.127.svg", "&lt;FlGraph&gt;")</f>
      </c>
      <c r="Z191" s="1">
        <f>=HYPERLINK("10.175.1.14\MWEB.12\BT\FlameChart.BT.10.175.1.14.MWEB.12.-wins-passwo.127.svg", "&lt;FlChart&gt;")</f>
      </c>
      <c r="AA191" s="0" t="s">
        <v>107</v>
      </c>
      <c r="AB191" s="0" t="s">
        <v>108</v>
      </c>
      <c r="AC191" s="0" t="s">
        <v>128</v>
      </c>
      <c r="AD191" s="0" t="s">
        <v>542</v>
      </c>
      <c r="AE191" s="0" t="s">
        <v>109</v>
      </c>
    </row>
    <row r="192">
      <c r="A192" s="0" t="s">
        <v>28</v>
      </c>
      <c r="B192" s="0" t="s">
        <v>30</v>
      </c>
      <c r="C192" s="0" t="s">
        <v>127</v>
      </c>
      <c r="D192" s="0" t="s">
        <v>543</v>
      </c>
      <c r="E192" s="0" t="s">
        <v>229</v>
      </c>
      <c r="F192" s="0">
        <v>0</v>
      </c>
      <c r="G192" s="0" t="s">
        <v>106</v>
      </c>
      <c r="H192" s="0">
        <v>0</v>
      </c>
      <c r="I192" s="0">
        <v>0</v>
      </c>
      <c r="J192" s="0">
        <v>0</v>
      </c>
      <c r="K192" s="0">
        <v>0</v>
      </c>
      <c r="L192" s="0">
        <v>0</v>
      </c>
      <c r="M192" s="0">
        <v>0</v>
      </c>
      <c r="N192" s="0" t="b">
        <v>0</v>
      </c>
      <c r="O192" s="2">
        <v>44613.583333333336</v>
      </c>
      <c r="P192" s="2">
        <v>44613.625</v>
      </c>
      <c r="Q192" s="2">
        <v>44613.208333333336</v>
      </c>
      <c r="R192" s="2">
        <v>44613.25</v>
      </c>
      <c r="S192" s="0">
        <v>60</v>
      </c>
      <c r="T192" s="0">
        <v>12</v>
      </c>
      <c r="U192" s="0">
        <v>39</v>
      </c>
      <c r="V192" s="0">
        <v>134</v>
      </c>
      <c r="W192" s="1">
        <f>=HYPERLINK("10.175.1.14\MWEB.12\BT\EntityDetails.10.175.1.14.MWEB.12.-wins-reques.134.xlsx", "&lt;Detail&gt;")</f>
      </c>
      <c r="X192" s="1">
        <f>=HYPERLINK("10.175.1.14\MWEB.12\BT\MetricGraphs.BT.10.175.1.14.MWEB.12.xlsx", "&lt;Metrics&gt;")</f>
      </c>
      <c r="Y192" s="1">
        <f>=HYPERLINK("10.175.1.14\MWEB.12\BT\FlameGraph.BT.10.175.1.14.MWEB.12.-wins-reques.134.svg", "&lt;FlGraph&gt;")</f>
      </c>
      <c r="Z192" s="1">
        <f>=HYPERLINK("10.175.1.14\MWEB.12\BT\FlameChart.BT.10.175.1.14.MWEB.12.-wins-reques.134.svg", "&lt;FlChart&gt;")</f>
      </c>
      <c r="AA192" s="0" t="s">
        <v>107</v>
      </c>
      <c r="AB192" s="0" t="s">
        <v>108</v>
      </c>
      <c r="AC192" s="0" t="s">
        <v>128</v>
      </c>
      <c r="AD192" s="0" t="s">
        <v>544</v>
      </c>
      <c r="AE192" s="0" t="s">
        <v>109</v>
      </c>
    </row>
    <row r="193">
      <c r="A193" s="0" t="s">
        <v>28</v>
      </c>
      <c r="B193" s="0" t="s">
        <v>30</v>
      </c>
      <c r="C193" s="0" t="s">
        <v>127</v>
      </c>
      <c r="D193" s="0" t="s">
        <v>545</v>
      </c>
      <c r="E193" s="0" t="s">
        <v>229</v>
      </c>
      <c r="F193" s="0">
        <v>0</v>
      </c>
      <c r="G193" s="0" t="s">
        <v>106</v>
      </c>
      <c r="H193" s="0">
        <v>0</v>
      </c>
      <c r="I193" s="0">
        <v>0</v>
      </c>
      <c r="J193" s="0">
        <v>0</v>
      </c>
      <c r="K193" s="0">
        <v>0</v>
      </c>
      <c r="L193" s="0">
        <v>0</v>
      </c>
      <c r="M193" s="0">
        <v>0</v>
      </c>
      <c r="N193" s="0" t="b">
        <v>0</v>
      </c>
      <c r="O193" s="2">
        <v>44613.583333333336</v>
      </c>
      <c r="P193" s="2">
        <v>44613.625</v>
      </c>
      <c r="Q193" s="2">
        <v>44613.208333333336</v>
      </c>
      <c r="R193" s="2">
        <v>44613.25</v>
      </c>
      <c r="S193" s="0">
        <v>60</v>
      </c>
      <c r="T193" s="0">
        <v>12</v>
      </c>
      <c r="U193" s="0">
        <v>39</v>
      </c>
      <c r="V193" s="0">
        <v>132</v>
      </c>
      <c r="W193" s="1">
        <f>=HYPERLINK("10.175.1.14\MWEB.12\BT\EntityDetails.10.175.1.14.MWEB.12.-wins-reset.132.xlsx", "&lt;Detail&gt;")</f>
      </c>
      <c r="X193" s="1">
        <f>=HYPERLINK("10.175.1.14\MWEB.12\BT\MetricGraphs.BT.10.175.1.14.MWEB.12.xlsx", "&lt;Metrics&gt;")</f>
      </c>
      <c r="Y193" s="1">
        <f>=HYPERLINK("10.175.1.14\MWEB.12\BT\FlameGraph.BT.10.175.1.14.MWEB.12.-wins-reset.132.svg", "&lt;FlGraph&gt;")</f>
      </c>
      <c r="Z193" s="1">
        <f>=HYPERLINK("10.175.1.14\MWEB.12\BT\FlameChart.BT.10.175.1.14.MWEB.12.-wins-reset.132.svg", "&lt;FlChart&gt;")</f>
      </c>
      <c r="AA193" s="0" t="s">
        <v>107</v>
      </c>
      <c r="AB193" s="0" t="s">
        <v>108</v>
      </c>
      <c r="AC193" s="0" t="s">
        <v>128</v>
      </c>
      <c r="AD193" s="0" t="s">
        <v>546</v>
      </c>
      <c r="AE193" s="0" t="s">
        <v>109</v>
      </c>
    </row>
    <row r="194">
      <c r="A194" s="0" t="s">
        <v>28</v>
      </c>
      <c r="B194" s="0" t="s">
        <v>30</v>
      </c>
      <c r="C194" s="0" t="s">
        <v>127</v>
      </c>
      <c r="D194" s="0" t="s">
        <v>547</v>
      </c>
      <c r="E194" s="0" t="s">
        <v>229</v>
      </c>
      <c r="F194" s="0">
        <v>0</v>
      </c>
      <c r="G194" s="0" t="s">
        <v>106</v>
      </c>
      <c r="H194" s="0">
        <v>0</v>
      </c>
      <c r="I194" s="0">
        <v>0</v>
      </c>
      <c r="J194" s="0">
        <v>0</v>
      </c>
      <c r="K194" s="0">
        <v>0</v>
      </c>
      <c r="L194" s="0">
        <v>0</v>
      </c>
      <c r="M194" s="0">
        <v>0</v>
      </c>
      <c r="N194" s="0" t="b">
        <v>0</v>
      </c>
      <c r="O194" s="2">
        <v>44613.583333333336</v>
      </c>
      <c r="P194" s="2">
        <v>44613.625</v>
      </c>
      <c r="Q194" s="2">
        <v>44613.208333333336</v>
      </c>
      <c r="R194" s="2">
        <v>44613.25</v>
      </c>
      <c r="S194" s="0">
        <v>60</v>
      </c>
      <c r="T194" s="0">
        <v>12</v>
      </c>
      <c r="U194" s="0">
        <v>39</v>
      </c>
      <c r="V194" s="0">
        <v>126</v>
      </c>
      <c r="W194" s="1">
        <f>=HYPERLINK("10.175.1.14\MWEB.12\BT\EntityDetails.10.175.1.14.MWEB.12.-wins-select.126.xlsx", "&lt;Detail&gt;")</f>
      </c>
      <c r="X194" s="1">
        <f>=HYPERLINK("10.175.1.14\MWEB.12\BT\MetricGraphs.BT.10.175.1.14.MWEB.12.xlsx", "&lt;Metrics&gt;")</f>
      </c>
      <c r="Y194" s="1">
        <f>=HYPERLINK("10.175.1.14\MWEB.12\BT\FlameGraph.BT.10.175.1.14.MWEB.12.-wins-select.126.svg", "&lt;FlGraph&gt;")</f>
      </c>
      <c r="Z194" s="1">
        <f>=HYPERLINK("10.175.1.14\MWEB.12\BT\FlameChart.BT.10.175.1.14.MWEB.12.-wins-select.126.svg", "&lt;FlChart&gt;")</f>
      </c>
      <c r="AA194" s="0" t="s">
        <v>107</v>
      </c>
      <c r="AB194" s="0" t="s">
        <v>108</v>
      </c>
      <c r="AC194" s="0" t="s">
        <v>128</v>
      </c>
      <c r="AD194" s="0" t="s">
        <v>548</v>
      </c>
      <c r="AE194" s="0" t="s">
        <v>109</v>
      </c>
    </row>
    <row r="195">
      <c r="A195" s="0" t="s">
        <v>28</v>
      </c>
      <c r="B195" s="0" t="s">
        <v>30</v>
      </c>
      <c r="C195" s="0" t="s">
        <v>127</v>
      </c>
      <c r="D195" s="0" t="s">
        <v>549</v>
      </c>
      <c r="E195" s="0" t="s">
        <v>229</v>
      </c>
      <c r="F195" s="0">
        <v>0</v>
      </c>
      <c r="G195" s="0" t="s">
        <v>106</v>
      </c>
      <c r="H195" s="0">
        <v>0</v>
      </c>
      <c r="I195" s="0">
        <v>0</v>
      </c>
      <c r="J195" s="0">
        <v>0</v>
      </c>
      <c r="K195" s="0">
        <v>0</v>
      </c>
      <c r="L195" s="0">
        <v>0</v>
      </c>
      <c r="M195" s="0">
        <v>0</v>
      </c>
      <c r="N195" s="0" t="b">
        <v>0</v>
      </c>
      <c r="O195" s="2">
        <v>44613.583333333336</v>
      </c>
      <c r="P195" s="2">
        <v>44613.625</v>
      </c>
      <c r="Q195" s="2">
        <v>44613.208333333336</v>
      </c>
      <c r="R195" s="2">
        <v>44613.25</v>
      </c>
      <c r="S195" s="0">
        <v>60</v>
      </c>
      <c r="T195" s="0">
        <v>12</v>
      </c>
      <c r="U195" s="0">
        <v>39</v>
      </c>
      <c r="V195" s="0">
        <v>140</v>
      </c>
      <c r="W195" s="1">
        <f>=HYPERLINK("10.175.1.14\MWEB.12\BT\EntityDetails.10.175.1.14.MWEB.12.-wins-userad.140.xlsx", "&lt;Detail&gt;")</f>
      </c>
      <c r="X195" s="1">
        <f>=HYPERLINK("10.175.1.14\MWEB.12\BT\MetricGraphs.BT.10.175.1.14.MWEB.12.xlsx", "&lt;Metrics&gt;")</f>
      </c>
      <c r="Y195" s="1">
        <f>=HYPERLINK("10.175.1.14\MWEB.12\BT\FlameGraph.BT.10.175.1.14.MWEB.12.-wins-userad.140.svg", "&lt;FlGraph&gt;")</f>
      </c>
      <c r="Z195" s="1">
        <f>=HYPERLINK("10.175.1.14\MWEB.12\BT\FlameChart.BT.10.175.1.14.MWEB.12.-wins-userad.140.svg", "&lt;FlChart&gt;")</f>
      </c>
      <c r="AA195" s="0" t="s">
        <v>107</v>
      </c>
      <c r="AB195" s="0" t="s">
        <v>108</v>
      </c>
      <c r="AC195" s="0" t="s">
        <v>128</v>
      </c>
      <c r="AD195" s="0" t="s">
        <v>550</v>
      </c>
      <c r="AE195" s="0" t="s">
        <v>109</v>
      </c>
    </row>
    <row r="196">
      <c r="A196" s="0" t="s">
        <v>28</v>
      </c>
      <c r="B196" s="0" t="s">
        <v>30</v>
      </c>
      <c r="C196" s="0" t="s">
        <v>127</v>
      </c>
      <c r="D196" s="0" t="s">
        <v>551</v>
      </c>
      <c r="E196" s="0" t="s">
        <v>229</v>
      </c>
      <c r="F196" s="0">
        <v>0</v>
      </c>
      <c r="G196" s="0" t="s">
        <v>106</v>
      </c>
      <c r="H196" s="0">
        <v>0</v>
      </c>
      <c r="I196" s="0">
        <v>0</v>
      </c>
      <c r="J196" s="0">
        <v>0</v>
      </c>
      <c r="K196" s="0">
        <v>0</v>
      </c>
      <c r="L196" s="0">
        <v>0</v>
      </c>
      <c r="M196" s="0">
        <v>0</v>
      </c>
      <c r="N196" s="0" t="b">
        <v>0</v>
      </c>
      <c r="O196" s="2">
        <v>44613.583333333336</v>
      </c>
      <c r="P196" s="2">
        <v>44613.625</v>
      </c>
      <c r="Q196" s="2">
        <v>44613.208333333336</v>
      </c>
      <c r="R196" s="2">
        <v>44613.25</v>
      </c>
      <c r="S196" s="0">
        <v>60</v>
      </c>
      <c r="T196" s="0">
        <v>12</v>
      </c>
      <c r="U196" s="0">
        <v>39</v>
      </c>
      <c r="V196" s="0">
        <v>142</v>
      </c>
      <c r="W196" s="1">
        <f>=HYPERLINK("10.175.1.14\MWEB.12\BT\EntityDetails.10.175.1.14.MWEB.12.-wins-userch.142.xlsx", "&lt;Detail&gt;")</f>
      </c>
      <c r="X196" s="1">
        <f>=HYPERLINK("10.175.1.14\MWEB.12\BT\MetricGraphs.BT.10.175.1.14.MWEB.12.xlsx", "&lt;Metrics&gt;")</f>
      </c>
      <c r="Y196" s="1">
        <f>=HYPERLINK("10.175.1.14\MWEB.12\BT\FlameGraph.BT.10.175.1.14.MWEB.12.-wins-userch.142.svg", "&lt;FlGraph&gt;")</f>
      </c>
      <c r="Z196" s="1">
        <f>=HYPERLINK("10.175.1.14\MWEB.12\BT\FlameChart.BT.10.175.1.14.MWEB.12.-wins-userch.142.svg", "&lt;FlChart&gt;")</f>
      </c>
      <c r="AA196" s="0" t="s">
        <v>107</v>
      </c>
      <c r="AB196" s="0" t="s">
        <v>108</v>
      </c>
      <c r="AC196" s="0" t="s">
        <v>128</v>
      </c>
      <c r="AD196" s="0" t="s">
        <v>552</v>
      </c>
      <c r="AE196" s="0" t="s">
        <v>109</v>
      </c>
    </row>
    <row r="197">
      <c r="A197" s="0" t="s">
        <v>28</v>
      </c>
      <c r="B197" s="0" t="s">
        <v>30</v>
      </c>
      <c r="C197" s="0" t="s">
        <v>127</v>
      </c>
      <c r="D197" s="0" t="s">
        <v>553</v>
      </c>
      <c r="E197" s="0" t="s">
        <v>229</v>
      </c>
      <c r="F197" s="0">
        <v>0</v>
      </c>
      <c r="G197" s="0" t="s">
        <v>106</v>
      </c>
      <c r="H197" s="0">
        <v>0</v>
      </c>
      <c r="I197" s="0">
        <v>0</v>
      </c>
      <c r="J197" s="0">
        <v>0</v>
      </c>
      <c r="K197" s="0">
        <v>0</v>
      </c>
      <c r="L197" s="0">
        <v>0</v>
      </c>
      <c r="M197" s="0">
        <v>0</v>
      </c>
      <c r="N197" s="0" t="b">
        <v>0</v>
      </c>
      <c r="O197" s="2">
        <v>44613.583333333336</v>
      </c>
      <c r="P197" s="2">
        <v>44613.625</v>
      </c>
      <c r="Q197" s="2">
        <v>44613.208333333336</v>
      </c>
      <c r="R197" s="2">
        <v>44613.25</v>
      </c>
      <c r="S197" s="0">
        <v>60</v>
      </c>
      <c r="T197" s="0">
        <v>12</v>
      </c>
      <c r="U197" s="0">
        <v>39</v>
      </c>
      <c r="V197" s="0">
        <v>152</v>
      </c>
      <c r="W197" s="1">
        <f>=HYPERLINK("10.175.1.14\MWEB.12\BT\EntityDetails.10.175.1.14.MWEB.12.-wins-userde.152.xlsx", "&lt;Detail&gt;")</f>
      </c>
      <c r="X197" s="1">
        <f>=HYPERLINK("10.175.1.14\MWEB.12\BT\MetricGraphs.BT.10.175.1.14.MWEB.12.xlsx", "&lt;Metrics&gt;")</f>
      </c>
      <c r="Y197" s="1">
        <f>=HYPERLINK("10.175.1.14\MWEB.12\BT\FlameGraph.BT.10.175.1.14.MWEB.12.-wins-userde.152.svg", "&lt;FlGraph&gt;")</f>
      </c>
      <c r="Z197" s="1">
        <f>=HYPERLINK("10.175.1.14\MWEB.12\BT\FlameChart.BT.10.175.1.14.MWEB.12.-wins-userde.152.svg", "&lt;FlChart&gt;")</f>
      </c>
      <c r="AA197" s="0" t="s">
        <v>107</v>
      </c>
      <c r="AB197" s="0" t="s">
        <v>108</v>
      </c>
      <c r="AC197" s="0" t="s">
        <v>128</v>
      </c>
      <c r="AD197" s="0" t="s">
        <v>554</v>
      </c>
      <c r="AE197" s="0" t="s">
        <v>109</v>
      </c>
    </row>
    <row r="198">
      <c r="A198" s="0" t="s">
        <v>28</v>
      </c>
      <c r="B198" s="0" t="s">
        <v>30</v>
      </c>
      <c r="C198" s="0" t="s">
        <v>149</v>
      </c>
      <c r="D198" s="0" t="s">
        <v>555</v>
      </c>
      <c r="E198" s="0" t="s">
        <v>229</v>
      </c>
      <c r="F198" s="0">
        <v>0</v>
      </c>
      <c r="G198" s="0" t="s">
        <v>106</v>
      </c>
      <c r="H198" s="0">
        <v>0</v>
      </c>
      <c r="I198" s="0">
        <v>0</v>
      </c>
      <c r="J198" s="0">
        <v>0</v>
      </c>
      <c r="K198" s="0">
        <v>0</v>
      </c>
      <c r="L198" s="0">
        <v>0</v>
      </c>
      <c r="M198" s="0">
        <v>0</v>
      </c>
      <c r="N198" s="0" t="b">
        <v>0</v>
      </c>
      <c r="O198" s="2">
        <v>44613.583333333336</v>
      </c>
      <c r="P198" s="2">
        <v>44613.625</v>
      </c>
      <c r="Q198" s="2">
        <v>44613.208333333336</v>
      </c>
      <c r="R198" s="2">
        <v>44613.25</v>
      </c>
      <c r="S198" s="0">
        <v>60</v>
      </c>
      <c r="T198" s="0">
        <v>12</v>
      </c>
      <c r="U198" s="0">
        <v>50</v>
      </c>
      <c r="V198" s="0">
        <v>779</v>
      </c>
      <c r="W198" s="1">
        <f>=HYPERLINK("10.175.1.14\MWEB.12\BT\EntityDetails.10.175.1.14.MWEB.12.-wins-WEB-IN.779.xlsx", "&lt;Detail&gt;")</f>
      </c>
      <c r="X198" s="1">
        <f>=HYPERLINK("10.175.1.14\MWEB.12\BT\MetricGraphs.BT.10.175.1.14.MWEB.12.xlsx", "&lt;Metrics&gt;")</f>
      </c>
      <c r="Y198" s="1">
        <f>=HYPERLINK("10.175.1.14\MWEB.12\BT\FlameGraph.BT.10.175.1.14.MWEB.12.-wins-WEB-IN.779.svg", "&lt;FlGraph&gt;")</f>
      </c>
      <c r="Z198" s="1">
        <f>=HYPERLINK("10.175.1.14\MWEB.12\BT\FlameChart.BT.10.175.1.14.MWEB.12.-wins-WEB-IN.779.svg", "&lt;FlChart&gt;")</f>
      </c>
      <c r="AA198" s="0" t="s">
        <v>107</v>
      </c>
      <c r="AB198" s="0" t="s">
        <v>108</v>
      </c>
      <c r="AC198" s="0" t="s">
        <v>150</v>
      </c>
      <c r="AD198" s="0" t="s">
        <v>556</v>
      </c>
      <c r="AE198" s="0" t="s">
        <v>109</v>
      </c>
    </row>
    <row r="199">
      <c r="A199" s="0" t="s">
        <v>28</v>
      </c>
      <c r="B199" s="0" t="s">
        <v>30</v>
      </c>
      <c r="C199" s="0" t="s">
        <v>125</v>
      </c>
      <c r="D199" s="0" t="s">
        <v>557</v>
      </c>
      <c r="E199" s="0" t="s">
        <v>558</v>
      </c>
      <c r="F199" s="0">
        <v>0</v>
      </c>
      <c r="G199" s="0" t="s">
        <v>106</v>
      </c>
      <c r="H199" s="0">
        <v>0</v>
      </c>
      <c r="I199" s="0">
        <v>0</v>
      </c>
      <c r="J199" s="0">
        <v>0</v>
      </c>
      <c r="K199" s="0">
        <v>0</v>
      </c>
      <c r="L199" s="0">
        <v>0</v>
      </c>
      <c r="M199" s="0">
        <v>0</v>
      </c>
      <c r="N199" s="0" t="b">
        <v>0</v>
      </c>
      <c r="O199" s="2">
        <v>44613.583333333336</v>
      </c>
      <c r="P199" s="2">
        <v>44613.625</v>
      </c>
      <c r="Q199" s="2">
        <v>44613.208333333336</v>
      </c>
      <c r="R199" s="2">
        <v>44613.25</v>
      </c>
      <c r="S199" s="0">
        <v>60</v>
      </c>
      <c r="T199" s="0">
        <v>12</v>
      </c>
      <c r="U199" s="0">
        <v>42</v>
      </c>
      <c r="V199" s="0">
        <v>151</v>
      </c>
      <c r="W199" s="1">
        <f>=HYPERLINK("10.175.1.14\MWEB.12\BT\EntityDetails.10.175.1.14.MWEB.12._APPDYNAMICS.151.xlsx", "&lt;Detail&gt;")</f>
      </c>
      <c r="X199" s="1">
        <f>=HYPERLINK("10.175.1.14\MWEB.12\BT\MetricGraphs.BT.10.175.1.14.MWEB.12.xlsx", "&lt;Metrics&gt;")</f>
      </c>
      <c r="Y199" s="1">
        <f>=HYPERLINK("10.175.1.14\MWEB.12\BT\FlameGraph.BT.10.175.1.14.MWEB.12._APPDYNAMICS.151.svg", "&lt;FlGraph&gt;")</f>
      </c>
      <c r="Z199" s="1">
        <f>=HYPERLINK("10.175.1.14\MWEB.12\BT\FlameChart.BT.10.175.1.14.MWEB.12._APPDYNAMICS.151.svg", "&lt;FlChart&gt;")</f>
      </c>
      <c r="AA199" s="0" t="s">
        <v>107</v>
      </c>
      <c r="AB199" s="0" t="s">
        <v>108</v>
      </c>
      <c r="AC199" s="0" t="s">
        <v>126</v>
      </c>
      <c r="AD199" s="0" t="s">
        <v>559</v>
      </c>
      <c r="AE199" s="0" t="s">
        <v>109</v>
      </c>
    </row>
    <row r="200">
      <c r="A200" s="0" t="s">
        <v>28</v>
      </c>
      <c r="B200" s="0" t="s">
        <v>30</v>
      </c>
      <c r="C200" s="0" t="s">
        <v>127</v>
      </c>
      <c r="D200" s="0" t="s">
        <v>557</v>
      </c>
      <c r="E200" s="0" t="s">
        <v>558</v>
      </c>
      <c r="F200" s="0">
        <v>0</v>
      </c>
      <c r="G200" s="0" t="s">
        <v>106</v>
      </c>
      <c r="H200" s="0">
        <v>0</v>
      </c>
      <c r="I200" s="0">
        <v>0</v>
      </c>
      <c r="J200" s="0">
        <v>0</v>
      </c>
      <c r="K200" s="0">
        <v>0</v>
      </c>
      <c r="L200" s="0">
        <v>0</v>
      </c>
      <c r="M200" s="0">
        <v>0</v>
      </c>
      <c r="N200" s="0" t="b">
        <v>0</v>
      </c>
      <c r="O200" s="2">
        <v>44613.583333333336</v>
      </c>
      <c r="P200" s="2">
        <v>44613.625</v>
      </c>
      <c r="Q200" s="2">
        <v>44613.208333333336</v>
      </c>
      <c r="R200" s="2">
        <v>44613.25</v>
      </c>
      <c r="S200" s="0">
        <v>60</v>
      </c>
      <c r="T200" s="0">
        <v>12</v>
      </c>
      <c r="U200" s="0">
        <v>39</v>
      </c>
      <c r="V200" s="0">
        <v>96</v>
      </c>
      <c r="W200" s="1">
        <f>=HYPERLINK("10.175.1.14\MWEB.12\BT\EntityDetails.10.175.1.14.MWEB.12._APPDYNAMICS.96.xlsx", "&lt;Detail&gt;")</f>
      </c>
      <c r="X200" s="1">
        <f>=HYPERLINK("10.175.1.14\MWEB.12\BT\MetricGraphs.BT.10.175.1.14.MWEB.12.xlsx", "&lt;Metrics&gt;")</f>
      </c>
      <c r="Y200" s="1">
        <f>=HYPERLINK("10.175.1.14\MWEB.12\BT\FlameGraph.BT.10.175.1.14.MWEB.12._APPDYNAMICS.96.svg", "&lt;FlGraph&gt;")</f>
      </c>
      <c r="Z200" s="1">
        <f>=HYPERLINK("10.175.1.14\MWEB.12\BT\FlameChart.BT.10.175.1.14.MWEB.12._APPDYNAMICS.96.svg", "&lt;FlChart&gt;")</f>
      </c>
      <c r="AA200" s="0" t="s">
        <v>107</v>
      </c>
      <c r="AB200" s="0" t="s">
        <v>108</v>
      </c>
      <c r="AC200" s="0" t="s">
        <v>128</v>
      </c>
      <c r="AD200" s="0" t="s">
        <v>560</v>
      </c>
      <c r="AE200" s="0" t="s">
        <v>109</v>
      </c>
    </row>
    <row r="201">
      <c r="A201" s="0" t="s">
        <v>28</v>
      </c>
      <c r="B201" s="0" t="s">
        <v>30</v>
      </c>
      <c r="C201" s="0" t="s">
        <v>129</v>
      </c>
      <c r="D201" s="0" t="s">
        <v>557</v>
      </c>
      <c r="E201" s="0" t="s">
        <v>558</v>
      </c>
      <c r="F201" s="0">
        <v>0</v>
      </c>
      <c r="G201" s="0" t="s">
        <v>106</v>
      </c>
      <c r="H201" s="0">
        <v>0</v>
      </c>
      <c r="I201" s="0">
        <v>0</v>
      </c>
      <c r="J201" s="0">
        <v>0</v>
      </c>
      <c r="K201" s="0">
        <v>0</v>
      </c>
      <c r="L201" s="0">
        <v>0</v>
      </c>
      <c r="M201" s="0">
        <v>0</v>
      </c>
      <c r="N201" s="0" t="b">
        <v>0</v>
      </c>
      <c r="O201" s="2">
        <v>44613.583333333336</v>
      </c>
      <c r="P201" s="2">
        <v>44613.625</v>
      </c>
      <c r="Q201" s="2">
        <v>44613.208333333336</v>
      </c>
      <c r="R201" s="2">
        <v>44613.25</v>
      </c>
      <c r="S201" s="0">
        <v>60</v>
      </c>
      <c r="T201" s="0">
        <v>12</v>
      </c>
      <c r="U201" s="0">
        <v>41</v>
      </c>
      <c r="V201" s="0">
        <v>282</v>
      </c>
      <c r="W201" s="1">
        <f>=HYPERLINK("10.175.1.14\MWEB.12\BT\EntityDetails.10.175.1.14.MWEB.12._APPDYNAMICS.282.xlsx", "&lt;Detail&gt;")</f>
      </c>
      <c r="X201" s="1">
        <f>=HYPERLINK("10.175.1.14\MWEB.12\BT\MetricGraphs.BT.10.175.1.14.MWEB.12.xlsx", "&lt;Metrics&gt;")</f>
      </c>
      <c r="Y201" s="1">
        <f>=HYPERLINK("10.175.1.14\MWEB.12\BT\FlameGraph.BT.10.175.1.14.MWEB.12._APPDYNAMICS.282.svg", "&lt;FlGraph&gt;")</f>
      </c>
      <c r="Z201" s="1">
        <f>=HYPERLINK("10.175.1.14\MWEB.12\BT\FlameChart.BT.10.175.1.14.MWEB.12._APPDYNAMICS.282.svg", "&lt;FlChart&gt;")</f>
      </c>
      <c r="AA201" s="0" t="s">
        <v>107</v>
      </c>
      <c r="AB201" s="0" t="s">
        <v>108</v>
      </c>
      <c r="AC201" s="0" t="s">
        <v>130</v>
      </c>
      <c r="AD201" s="0" t="s">
        <v>561</v>
      </c>
      <c r="AE201" s="0" t="s">
        <v>109</v>
      </c>
    </row>
    <row r="202">
      <c r="A202" s="0" t="s">
        <v>28</v>
      </c>
      <c r="B202" s="0" t="s">
        <v>30</v>
      </c>
      <c r="C202" s="0" t="s">
        <v>131</v>
      </c>
      <c r="D202" s="0" t="s">
        <v>557</v>
      </c>
      <c r="E202" s="0" t="s">
        <v>558</v>
      </c>
      <c r="F202" s="0">
        <v>0</v>
      </c>
      <c r="G202" s="0" t="s">
        <v>106</v>
      </c>
      <c r="H202" s="0">
        <v>0</v>
      </c>
      <c r="I202" s="0">
        <v>0</v>
      </c>
      <c r="J202" s="0">
        <v>0</v>
      </c>
      <c r="K202" s="0">
        <v>0</v>
      </c>
      <c r="L202" s="0">
        <v>0</v>
      </c>
      <c r="M202" s="0">
        <v>0</v>
      </c>
      <c r="N202" s="0" t="b">
        <v>0</v>
      </c>
      <c r="O202" s="2">
        <v>44613.583333333336</v>
      </c>
      <c r="P202" s="2">
        <v>44613.625</v>
      </c>
      <c r="Q202" s="2">
        <v>44613.208333333336</v>
      </c>
      <c r="R202" s="2">
        <v>44613.25</v>
      </c>
      <c r="S202" s="0">
        <v>60</v>
      </c>
      <c r="T202" s="0">
        <v>12</v>
      </c>
      <c r="U202" s="0">
        <v>40</v>
      </c>
      <c r="V202" s="0">
        <v>276</v>
      </c>
      <c r="W202" s="1">
        <f>=HYPERLINK("10.175.1.14\MWEB.12\BT\EntityDetails.10.175.1.14.MWEB.12._APPDYNAMICS.276.xlsx", "&lt;Detail&gt;")</f>
      </c>
      <c r="X202" s="1">
        <f>=HYPERLINK("10.175.1.14\MWEB.12\BT\MetricGraphs.BT.10.175.1.14.MWEB.12.xlsx", "&lt;Metrics&gt;")</f>
      </c>
      <c r="Y202" s="1">
        <f>=HYPERLINK("10.175.1.14\MWEB.12\BT\FlameGraph.BT.10.175.1.14.MWEB.12._APPDYNAMICS.276.svg", "&lt;FlGraph&gt;")</f>
      </c>
      <c r="Z202" s="1">
        <f>=HYPERLINK("10.175.1.14\MWEB.12\BT\FlameChart.BT.10.175.1.14.MWEB.12._APPDYNAMICS.276.svg", "&lt;FlChart&gt;")</f>
      </c>
      <c r="AA202" s="0" t="s">
        <v>107</v>
      </c>
      <c r="AB202" s="0" t="s">
        <v>108</v>
      </c>
      <c r="AC202" s="0" t="s">
        <v>132</v>
      </c>
      <c r="AD202" s="0" t="s">
        <v>562</v>
      </c>
      <c r="AE202" s="0" t="s">
        <v>109</v>
      </c>
    </row>
    <row r="203">
      <c r="A203" s="0" t="s">
        <v>28</v>
      </c>
      <c r="B203" s="0" t="s">
        <v>30</v>
      </c>
      <c r="C203" s="0" t="s">
        <v>133</v>
      </c>
      <c r="D203" s="0" t="s">
        <v>557</v>
      </c>
      <c r="E203" s="0" t="s">
        <v>558</v>
      </c>
      <c r="F203" s="0">
        <v>0</v>
      </c>
      <c r="G203" s="0" t="s">
        <v>106</v>
      </c>
      <c r="H203" s="0">
        <v>0</v>
      </c>
      <c r="I203" s="0">
        <v>0</v>
      </c>
      <c r="J203" s="0">
        <v>0</v>
      </c>
      <c r="K203" s="0">
        <v>0</v>
      </c>
      <c r="L203" s="0">
        <v>0</v>
      </c>
      <c r="M203" s="0">
        <v>0</v>
      </c>
      <c r="N203" s="0" t="b">
        <v>0</v>
      </c>
      <c r="O203" s="2">
        <v>44613.583333333336</v>
      </c>
      <c r="P203" s="2">
        <v>44613.625</v>
      </c>
      <c r="Q203" s="2">
        <v>44613.208333333336</v>
      </c>
      <c r="R203" s="2">
        <v>44613.25</v>
      </c>
      <c r="S203" s="0">
        <v>60</v>
      </c>
      <c r="T203" s="0">
        <v>12</v>
      </c>
      <c r="U203" s="0">
        <v>36</v>
      </c>
      <c r="V203" s="0">
        <v>143</v>
      </c>
      <c r="W203" s="1">
        <f>=HYPERLINK("10.175.1.14\MWEB.12\BT\EntityDetails.10.175.1.14.MWEB.12._APPDYNAMICS.143.xlsx", "&lt;Detail&gt;")</f>
      </c>
      <c r="X203" s="1">
        <f>=HYPERLINK("10.175.1.14\MWEB.12\BT\MetricGraphs.BT.10.175.1.14.MWEB.12.xlsx", "&lt;Metrics&gt;")</f>
      </c>
      <c r="Y203" s="1">
        <f>=HYPERLINK("10.175.1.14\MWEB.12\BT\FlameGraph.BT.10.175.1.14.MWEB.12._APPDYNAMICS.143.svg", "&lt;FlGraph&gt;")</f>
      </c>
      <c r="Z203" s="1">
        <f>=HYPERLINK("10.175.1.14\MWEB.12\BT\FlameChart.BT.10.175.1.14.MWEB.12._APPDYNAMICS.143.svg", "&lt;FlChart&gt;")</f>
      </c>
      <c r="AA203" s="0" t="s">
        <v>107</v>
      </c>
      <c r="AB203" s="0" t="s">
        <v>108</v>
      </c>
      <c r="AC203" s="0" t="s">
        <v>134</v>
      </c>
      <c r="AD203" s="0" t="s">
        <v>563</v>
      </c>
      <c r="AE203" s="0" t="s">
        <v>109</v>
      </c>
    </row>
    <row r="204">
      <c r="A204" s="0" t="s">
        <v>28</v>
      </c>
      <c r="B204" s="0" t="s">
        <v>30</v>
      </c>
      <c r="C204" s="0" t="s">
        <v>135</v>
      </c>
      <c r="D204" s="0" t="s">
        <v>557</v>
      </c>
      <c r="E204" s="0" t="s">
        <v>558</v>
      </c>
      <c r="F204" s="0">
        <v>0</v>
      </c>
      <c r="G204" s="0" t="s">
        <v>106</v>
      </c>
      <c r="H204" s="0">
        <v>0</v>
      </c>
      <c r="I204" s="0">
        <v>0</v>
      </c>
      <c r="J204" s="0">
        <v>0</v>
      </c>
      <c r="K204" s="0">
        <v>0</v>
      </c>
      <c r="L204" s="0">
        <v>0</v>
      </c>
      <c r="M204" s="0">
        <v>0</v>
      </c>
      <c r="N204" s="0" t="b">
        <v>0</v>
      </c>
      <c r="O204" s="2">
        <v>44613.583333333336</v>
      </c>
      <c r="P204" s="2">
        <v>44613.625</v>
      </c>
      <c r="Q204" s="2">
        <v>44613.208333333336</v>
      </c>
      <c r="R204" s="2">
        <v>44613.25</v>
      </c>
      <c r="S204" s="0">
        <v>60</v>
      </c>
      <c r="T204" s="0">
        <v>12</v>
      </c>
      <c r="U204" s="0">
        <v>37</v>
      </c>
      <c r="V204" s="0">
        <v>200</v>
      </c>
      <c r="W204" s="1">
        <f>=HYPERLINK("10.175.1.14\MWEB.12\BT\EntityDetails.10.175.1.14.MWEB.12._APPDYNAMICS.200.xlsx", "&lt;Detail&gt;")</f>
      </c>
      <c r="X204" s="1">
        <f>=HYPERLINK("10.175.1.14\MWEB.12\BT\MetricGraphs.BT.10.175.1.14.MWEB.12.xlsx", "&lt;Metrics&gt;")</f>
      </c>
      <c r="Y204" s="1">
        <f>=HYPERLINK("10.175.1.14\MWEB.12\BT\FlameGraph.BT.10.175.1.14.MWEB.12._APPDYNAMICS.200.svg", "&lt;FlGraph&gt;")</f>
      </c>
      <c r="Z204" s="1">
        <f>=HYPERLINK("10.175.1.14\MWEB.12\BT\FlameChart.BT.10.175.1.14.MWEB.12._APPDYNAMICS.200.svg", "&lt;FlChart&gt;")</f>
      </c>
      <c r="AA204" s="0" t="s">
        <v>107</v>
      </c>
      <c r="AB204" s="0" t="s">
        <v>108</v>
      </c>
      <c r="AC204" s="0" t="s">
        <v>136</v>
      </c>
      <c r="AD204" s="0" t="s">
        <v>564</v>
      </c>
      <c r="AE204" s="0" t="s">
        <v>109</v>
      </c>
    </row>
    <row r="205">
      <c r="A205" s="0" t="s">
        <v>28</v>
      </c>
      <c r="B205" s="0" t="s">
        <v>30</v>
      </c>
      <c r="C205" s="0" t="s">
        <v>137</v>
      </c>
      <c r="D205" s="0" t="s">
        <v>557</v>
      </c>
      <c r="E205" s="0" t="s">
        <v>558</v>
      </c>
      <c r="F205" s="0">
        <v>0</v>
      </c>
      <c r="G205" s="0" t="s">
        <v>106</v>
      </c>
      <c r="H205" s="0">
        <v>0</v>
      </c>
      <c r="I205" s="0">
        <v>0</v>
      </c>
      <c r="J205" s="0">
        <v>0</v>
      </c>
      <c r="K205" s="0">
        <v>0</v>
      </c>
      <c r="L205" s="0">
        <v>0</v>
      </c>
      <c r="M205" s="0">
        <v>0</v>
      </c>
      <c r="N205" s="0" t="b">
        <v>0</v>
      </c>
      <c r="O205" s="2">
        <v>44613.583333333336</v>
      </c>
      <c r="P205" s="2">
        <v>44613.625</v>
      </c>
      <c r="Q205" s="2">
        <v>44613.208333333336</v>
      </c>
      <c r="R205" s="2">
        <v>44613.25</v>
      </c>
      <c r="S205" s="0">
        <v>60</v>
      </c>
      <c r="T205" s="0">
        <v>12</v>
      </c>
      <c r="U205" s="0">
        <v>38</v>
      </c>
      <c r="V205" s="0">
        <v>201</v>
      </c>
      <c r="W205" s="1">
        <f>=HYPERLINK("10.175.1.14\MWEB.12\BT\EntityDetails.10.175.1.14.MWEB.12._APPDYNAMICS.201.xlsx", "&lt;Detail&gt;")</f>
      </c>
      <c r="X205" s="1">
        <f>=HYPERLINK("10.175.1.14\MWEB.12\BT\MetricGraphs.BT.10.175.1.14.MWEB.12.xlsx", "&lt;Metrics&gt;")</f>
      </c>
      <c r="Y205" s="1">
        <f>=HYPERLINK("10.175.1.14\MWEB.12\BT\FlameGraph.BT.10.175.1.14.MWEB.12._APPDYNAMICS.201.svg", "&lt;FlGraph&gt;")</f>
      </c>
      <c r="Z205" s="1">
        <f>=HYPERLINK("10.175.1.14\MWEB.12\BT\FlameChart.BT.10.175.1.14.MWEB.12._APPDYNAMICS.201.svg", "&lt;FlChart&gt;")</f>
      </c>
      <c r="AA205" s="0" t="s">
        <v>107</v>
      </c>
      <c r="AB205" s="0" t="s">
        <v>108</v>
      </c>
      <c r="AC205" s="0" t="s">
        <v>138</v>
      </c>
      <c r="AD205" s="0" t="s">
        <v>565</v>
      </c>
      <c r="AE205" s="0" t="s">
        <v>109</v>
      </c>
    </row>
    <row r="206">
      <c r="A206" s="0" t="s">
        <v>28</v>
      </c>
      <c r="B206" s="0" t="s">
        <v>30</v>
      </c>
      <c r="C206" s="0" t="s">
        <v>139</v>
      </c>
      <c r="D206" s="0" t="s">
        <v>557</v>
      </c>
      <c r="E206" s="0" t="s">
        <v>558</v>
      </c>
      <c r="F206" s="0">
        <v>0</v>
      </c>
      <c r="G206" s="0" t="s">
        <v>106</v>
      </c>
      <c r="H206" s="0">
        <v>0</v>
      </c>
      <c r="I206" s="0">
        <v>0</v>
      </c>
      <c r="J206" s="0">
        <v>0</v>
      </c>
      <c r="K206" s="0">
        <v>0</v>
      </c>
      <c r="L206" s="0">
        <v>0</v>
      </c>
      <c r="M206" s="0">
        <v>0</v>
      </c>
      <c r="N206" s="0" t="b">
        <v>0</v>
      </c>
      <c r="O206" s="2">
        <v>44613.583333333336</v>
      </c>
      <c r="P206" s="2">
        <v>44613.625</v>
      </c>
      <c r="Q206" s="2">
        <v>44613.208333333336</v>
      </c>
      <c r="R206" s="2">
        <v>44613.25</v>
      </c>
      <c r="S206" s="0">
        <v>60</v>
      </c>
      <c r="T206" s="0">
        <v>12</v>
      </c>
      <c r="U206" s="0">
        <v>35</v>
      </c>
      <c r="V206" s="0">
        <v>90</v>
      </c>
      <c r="W206" s="1">
        <f>=HYPERLINK("10.175.1.14\MWEB.12\BT\EntityDetails.10.175.1.14.MWEB.12._APPDYNAMICS.90.xlsx", "&lt;Detail&gt;")</f>
      </c>
      <c r="X206" s="1">
        <f>=HYPERLINK("10.175.1.14\MWEB.12\BT\MetricGraphs.BT.10.175.1.14.MWEB.12.xlsx", "&lt;Metrics&gt;")</f>
      </c>
      <c r="Y206" s="1">
        <f>=HYPERLINK("10.175.1.14\MWEB.12\BT\FlameGraph.BT.10.175.1.14.MWEB.12._APPDYNAMICS.90.svg", "&lt;FlGraph&gt;")</f>
      </c>
      <c r="Z206" s="1">
        <f>=HYPERLINK("10.175.1.14\MWEB.12\BT\FlameChart.BT.10.175.1.14.MWEB.12._APPDYNAMICS.90.svg", "&lt;FlChart&gt;")</f>
      </c>
      <c r="AA206" s="0" t="s">
        <v>107</v>
      </c>
      <c r="AB206" s="0" t="s">
        <v>108</v>
      </c>
      <c r="AC206" s="0" t="s">
        <v>142</v>
      </c>
      <c r="AD206" s="0" t="s">
        <v>566</v>
      </c>
      <c r="AE206" s="0" t="s">
        <v>109</v>
      </c>
    </row>
    <row r="207">
      <c r="A207" s="0" t="s">
        <v>28</v>
      </c>
      <c r="B207" s="0" t="s">
        <v>30</v>
      </c>
      <c r="C207" s="0" t="s">
        <v>139</v>
      </c>
      <c r="D207" s="0" t="s">
        <v>557</v>
      </c>
      <c r="E207" s="0" t="s">
        <v>558</v>
      </c>
      <c r="F207" s="0">
        <v>0</v>
      </c>
      <c r="G207" s="0" t="s">
        <v>106</v>
      </c>
      <c r="H207" s="0">
        <v>0</v>
      </c>
      <c r="I207" s="0">
        <v>0</v>
      </c>
      <c r="J207" s="0">
        <v>0</v>
      </c>
      <c r="K207" s="0">
        <v>0</v>
      </c>
      <c r="L207" s="0">
        <v>0</v>
      </c>
      <c r="M207" s="0">
        <v>0</v>
      </c>
      <c r="N207" s="0" t="b">
        <v>0</v>
      </c>
      <c r="O207" s="2">
        <v>44613.583333333336</v>
      </c>
      <c r="P207" s="2">
        <v>44613.625</v>
      </c>
      <c r="Q207" s="2">
        <v>44613.208333333336</v>
      </c>
      <c r="R207" s="2">
        <v>44613.25</v>
      </c>
      <c r="S207" s="0">
        <v>60</v>
      </c>
      <c r="T207" s="0">
        <v>12</v>
      </c>
      <c r="U207" s="0">
        <v>35</v>
      </c>
      <c r="V207" s="0">
        <v>433</v>
      </c>
      <c r="W207" s="1">
        <f>=HYPERLINK("10.175.1.14\MWEB.12\BT\EntityDetails.10.175.1.14.MWEB.12._APPDYNAMICS.433.xlsx", "&lt;Detail&gt;")</f>
      </c>
      <c r="X207" s="1">
        <f>=HYPERLINK("10.175.1.14\MWEB.12\BT\MetricGraphs.BT.10.175.1.14.MWEB.12.xlsx", "&lt;Metrics&gt;")</f>
      </c>
      <c r="Y207" s="1">
        <f>=HYPERLINK("10.175.1.14\MWEB.12\BT\FlameGraph.BT.10.175.1.14.MWEB.12._APPDYNAMICS.433.svg", "&lt;FlGraph&gt;")</f>
      </c>
      <c r="Z207" s="1">
        <f>=HYPERLINK("10.175.1.14\MWEB.12\BT\FlameChart.BT.10.175.1.14.MWEB.12._APPDYNAMICS.433.svg", "&lt;FlChart&gt;")</f>
      </c>
      <c r="AA207" s="0" t="s">
        <v>107</v>
      </c>
      <c r="AB207" s="0" t="s">
        <v>108</v>
      </c>
      <c r="AC207" s="0" t="s">
        <v>142</v>
      </c>
      <c r="AD207" s="0" t="s">
        <v>567</v>
      </c>
      <c r="AE207" s="0" t="s">
        <v>109</v>
      </c>
    </row>
    <row r="208">
      <c r="A208" s="0" t="s">
        <v>28</v>
      </c>
      <c r="B208" s="0" t="s">
        <v>30</v>
      </c>
      <c r="C208" s="0" t="s">
        <v>143</v>
      </c>
      <c r="D208" s="0" t="s">
        <v>557</v>
      </c>
      <c r="E208" s="0" t="s">
        <v>558</v>
      </c>
      <c r="F208" s="0">
        <v>0</v>
      </c>
      <c r="G208" s="0" t="s">
        <v>106</v>
      </c>
      <c r="H208" s="0">
        <v>0</v>
      </c>
      <c r="I208" s="0">
        <v>0</v>
      </c>
      <c r="J208" s="0">
        <v>0</v>
      </c>
      <c r="K208" s="0">
        <v>0</v>
      </c>
      <c r="L208" s="0">
        <v>0</v>
      </c>
      <c r="M208" s="0">
        <v>0</v>
      </c>
      <c r="N208" s="0" t="b">
        <v>0</v>
      </c>
      <c r="O208" s="2">
        <v>44613.583333333336</v>
      </c>
      <c r="P208" s="2">
        <v>44613.625</v>
      </c>
      <c r="Q208" s="2">
        <v>44613.208333333336</v>
      </c>
      <c r="R208" s="2">
        <v>44613.25</v>
      </c>
      <c r="S208" s="0">
        <v>60</v>
      </c>
      <c r="T208" s="0">
        <v>12</v>
      </c>
      <c r="U208" s="0">
        <v>43</v>
      </c>
      <c r="V208" s="0">
        <v>582</v>
      </c>
      <c r="W208" s="1">
        <f>=HYPERLINK("10.175.1.14\MWEB.12\BT\EntityDetails.10.175.1.14.MWEB.12._APPDYNAMICS.582.xlsx", "&lt;Detail&gt;")</f>
      </c>
      <c r="X208" s="1">
        <f>=HYPERLINK("10.175.1.14\MWEB.12\BT\MetricGraphs.BT.10.175.1.14.MWEB.12.xlsx", "&lt;Metrics&gt;")</f>
      </c>
      <c r="Y208" s="1">
        <f>=HYPERLINK("10.175.1.14\MWEB.12\BT\FlameGraph.BT.10.175.1.14.MWEB.12._APPDYNAMICS.582.svg", "&lt;FlGraph&gt;")</f>
      </c>
      <c r="Z208" s="1">
        <f>=HYPERLINK("10.175.1.14\MWEB.12\BT\FlameChart.BT.10.175.1.14.MWEB.12._APPDYNAMICS.582.svg", "&lt;FlChart&gt;")</f>
      </c>
      <c r="AA208" s="0" t="s">
        <v>107</v>
      </c>
      <c r="AB208" s="0" t="s">
        <v>108</v>
      </c>
      <c r="AC208" s="0" t="s">
        <v>144</v>
      </c>
      <c r="AD208" s="0" t="s">
        <v>568</v>
      </c>
      <c r="AE208" s="0" t="s">
        <v>109</v>
      </c>
    </row>
    <row r="209">
      <c r="A209" s="0" t="s">
        <v>28</v>
      </c>
      <c r="B209" s="0" t="s">
        <v>30</v>
      </c>
      <c r="C209" s="0" t="s">
        <v>147</v>
      </c>
      <c r="D209" s="0" t="s">
        <v>557</v>
      </c>
      <c r="E209" s="0" t="s">
        <v>558</v>
      </c>
      <c r="F209" s="0">
        <v>0</v>
      </c>
      <c r="G209" s="0" t="s">
        <v>106</v>
      </c>
      <c r="H209" s="0">
        <v>0</v>
      </c>
      <c r="I209" s="0">
        <v>0</v>
      </c>
      <c r="J209" s="0">
        <v>0</v>
      </c>
      <c r="K209" s="0">
        <v>0</v>
      </c>
      <c r="L209" s="0">
        <v>0</v>
      </c>
      <c r="M209" s="0">
        <v>0</v>
      </c>
      <c r="N209" s="0" t="b">
        <v>0</v>
      </c>
      <c r="O209" s="2">
        <v>44613.583333333336</v>
      </c>
      <c r="P209" s="2">
        <v>44613.625</v>
      </c>
      <c r="Q209" s="2">
        <v>44613.208333333336</v>
      </c>
      <c r="R209" s="2">
        <v>44613.25</v>
      </c>
      <c r="S209" s="0">
        <v>60</v>
      </c>
      <c r="T209" s="0">
        <v>12</v>
      </c>
      <c r="U209" s="0">
        <v>49</v>
      </c>
      <c r="V209" s="0">
        <v>620</v>
      </c>
      <c r="W209" s="1">
        <f>=HYPERLINK("10.175.1.14\MWEB.12\BT\EntityDetails.10.175.1.14.MWEB.12._APPDYNAMICS.620.xlsx", "&lt;Detail&gt;")</f>
      </c>
      <c r="X209" s="1">
        <f>=HYPERLINK("10.175.1.14\MWEB.12\BT\MetricGraphs.BT.10.175.1.14.MWEB.12.xlsx", "&lt;Metrics&gt;")</f>
      </c>
      <c r="Y209" s="1">
        <f>=HYPERLINK("10.175.1.14\MWEB.12\BT\FlameGraph.BT.10.175.1.14.MWEB.12._APPDYNAMICS.620.svg", "&lt;FlGraph&gt;")</f>
      </c>
      <c r="Z209" s="1">
        <f>=HYPERLINK("10.175.1.14\MWEB.12\BT\FlameChart.BT.10.175.1.14.MWEB.12._APPDYNAMICS.620.svg", "&lt;FlChart&gt;")</f>
      </c>
      <c r="AA209" s="0" t="s">
        <v>107</v>
      </c>
      <c r="AB209" s="0" t="s">
        <v>108</v>
      </c>
      <c r="AC209" s="0" t="s">
        <v>148</v>
      </c>
      <c r="AD209" s="0" t="s">
        <v>569</v>
      </c>
      <c r="AE209" s="0" t="s">
        <v>109</v>
      </c>
    </row>
    <row r="210">
      <c r="A210" s="0" t="s">
        <v>28</v>
      </c>
      <c r="B210" s="0" t="s">
        <v>30</v>
      </c>
      <c r="C210" s="0" t="s">
        <v>149</v>
      </c>
      <c r="D210" s="0" t="s">
        <v>557</v>
      </c>
      <c r="E210" s="0" t="s">
        <v>558</v>
      </c>
      <c r="F210" s="0">
        <v>0</v>
      </c>
      <c r="G210" s="0" t="s">
        <v>106</v>
      </c>
      <c r="H210" s="0">
        <v>0</v>
      </c>
      <c r="I210" s="0">
        <v>0</v>
      </c>
      <c r="J210" s="0">
        <v>0</v>
      </c>
      <c r="K210" s="0">
        <v>0</v>
      </c>
      <c r="L210" s="0">
        <v>0</v>
      </c>
      <c r="M210" s="0">
        <v>0</v>
      </c>
      <c r="N210" s="0" t="b">
        <v>0</v>
      </c>
      <c r="O210" s="2">
        <v>44613.583333333336</v>
      </c>
      <c r="P210" s="2">
        <v>44613.625</v>
      </c>
      <c r="Q210" s="2">
        <v>44613.208333333336</v>
      </c>
      <c r="R210" s="2">
        <v>44613.25</v>
      </c>
      <c r="S210" s="0">
        <v>60</v>
      </c>
      <c r="T210" s="0">
        <v>12</v>
      </c>
      <c r="U210" s="0">
        <v>50</v>
      </c>
      <c r="V210" s="0">
        <v>621</v>
      </c>
      <c r="W210" s="1">
        <f>=HYPERLINK("10.175.1.14\MWEB.12\BT\EntityDetails.10.175.1.14.MWEB.12._APPDYNAMICS.621.xlsx", "&lt;Detail&gt;")</f>
      </c>
      <c r="X210" s="1">
        <f>=HYPERLINK("10.175.1.14\MWEB.12\BT\MetricGraphs.BT.10.175.1.14.MWEB.12.xlsx", "&lt;Metrics&gt;")</f>
      </c>
      <c r="Y210" s="1">
        <f>=HYPERLINK("10.175.1.14\MWEB.12\BT\FlameGraph.BT.10.175.1.14.MWEB.12._APPDYNAMICS.621.svg", "&lt;FlGraph&gt;")</f>
      </c>
      <c r="Z210" s="1">
        <f>=HYPERLINK("10.175.1.14\MWEB.12\BT\FlameChart.BT.10.175.1.14.MWEB.12._APPDYNAMICS.621.svg", "&lt;FlChart&gt;")</f>
      </c>
      <c r="AA210" s="0" t="s">
        <v>107</v>
      </c>
      <c r="AB210" s="0" t="s">
        <v>108</v>
      </c>
      <c r="AC210" s="0" t="s">
        <v>150</v>
      </c>
      <c r="AD210" s="0" t="s">
        <v>570</v>
      </c>
      <c r="AE210" s="0" t="s">
        <v>109</v>
      </c>
    </row>
    <row r="211">
      <c r="A211" s="0" t="s">
        <v>28</v>
      </c>
      <c r="B211" s="0" t="s">
        <v>30</v>
      </c>
      <c r="C211" s="0" t="s">
        <v>151</v>
      </c>
      <c r="D211" s="0" t="s">
        <v>557</v>
      </c>
      <c r="E211" s="0" t="s">
        <v>558</v>
      </c>
      <c r="F211" s="0">
        <v>0</v>
      </c>
      <c r="G211" s="0" t="s">
        <v>106</v>
      </c>
      <c r="H211" s="0">
        <v>0</v>
      </c>
      <c r="I211" s="0">
        <v>0</v>
      </c>
      <c r="J211" s="0">
        <v>0</v>
      </c>
      <c r="K211" s="0">
        <v>0</v>
      </c>
      <c r="L211" s="0">
        <v>0</v>
      </c>
      <c r="M211" s="0">
        <v>0</v>
      </c>
      <c r="N211" s="0" t="b">
        <v>0</v>
      </c>
      <c r="O211" s="2">
        <v>44613.583333333336</v>
      </c>
      <c r="P211" s="2">
        <v>44613.625</v>
      </c>
      <c r="Q211" s="2">
        <v>44613.208333333336</v>
      </c>
      <c r="R211" s="2">
        <v>44613.25</v>
      </c>
      <c r="S211" s="0">
        <v>60</v>
      </c>
      <c r="T211" s="0">
        <v>12</v>
      </c>
      <c r="U211" s="0">
        <v>52</v>
      </c>
      <c r="V211" s="0">
        <v>623</v>
      </c>
      <c r="W211" s="1">
        <f>=HYPERLINK("10.175.1.14\MWEB.12\BT\EntityDetails.10.175.1.14.MWEB.12._APPDYNAMICS.623.xlsx", "&lt;Detail&gt;")</f>
      </c>
      <c r="X211" s="1">
        <f>=HYPERLINK("10.175.1.14\MWEB.12\BT\MetricGraphs.BT.10.175.1.14.MWEB.12.xlsx", "&lt;Metrics&gt;")</f>
      </c>
      <c r="Y211" s="1">
        <f>=HYPERLINK("10.175.1.14\MWEB.12\BT\FlameGraph.BT.10.175.1.14.MWEB.12._APPDYNAMICS.623.svg", "&lt;FlGraph&gt;")</f>
      </c>
      <c r="Z211" s="1">
        <f>=HYPERLINK("10.175.1.14\MWEB.12\BT\FlameChart.BT.10.175.1.14.MWEB.12._APPDYNAMICS.623.svg", "&lt;FlChart&gt;")</f>
      </c>
      <c r="AA211" s="0" t="s">
        <v>107</v>
      </c>
      <c r="AB211" s="0" t="s">
        <v>108</v>
      </c>
      <c r="AC211" s="0" t="s">
        <v>152</v>
      </c>
      <c r="AD211" s="0" t="s">
        <v>571</v>
      </c>
      <c r="AE211" s="0" t="s">
        <v>109</v>
      </c>
    </row>
    <row r="212">
      <c r="A212" s="0" t="s">
        <v>28</v>
      </c>
      <c r="B212" s="0" t="s">
        <v>30</v>
      </c>
      <c r="C212" s="0" t="s">
        <v>153</v>
      </c>
      <c r="D212" s="0" t="s">
        <v>557</v>
      </c>
      <c r="E212" s="0" t="s">
        <v>558</v>
      </c>
      <c r="F212" s="0">
        <v>0</v>
      </c>
      <c r="G212" s="0" t="s">
        <v>106</v>
      </c>
      <c r="H212" s="0">
        <v>0</v>
      </c>
      <c r="I212" s="0">
        <v>0</v>
      </c>
      <c r="J212" s="0">
        <v>0</v>
      </c>
      <c r="K212" s="0">
        <v>0</v>
      </c>
      <c r="L212" s="0">
        <v>0</v>
      </c>
      <c r="M212" s="0">
        <v>0</v>
      </c>
      <c r="N212" s="0" t="b">
        <v>0</v>
      </c>
      <c r="O212" s="2">
        <v>44613.583333333336</v>
      </c>
      <c r="P212" s="2">
        <v>44613.625</v>
      </c>
      <c r="Q212" s="2">
        <v>44613.208333333336</v>
      </c>
      <c r="R212" s="2">
        <v>44613.25</v>
      </c>
      <c r="S212" s="0">
        <v>60</v>
      </c>
      <c r="T212" s="0">
        <v>12</v>
      </c>
      <c r="U212" s="0">
        <v>51</v>
      </c>
      <c r="V212" s="0">
        <v>622</v>
      </c>
      <c r="W212" s="1">
        <f>=HYPERLINK("10.175.1.14\MWEB.12\BT\EntityDetails.10.175.1.14.MWEB.12._APPDYNAMICS.622.xlsx", "&lt;Detail&gt;")</f>
      </c>
      <c r="X212" s="1">
        <f>=HYPERLINK("10.175.1.14\MWEB.12\BT\MetricGraphs.BT.10.175.1.14.MWEB.12.xlsx", "&lt;Metrics&gt;")</f>
      </c>
      <c r="Y212" s="1">
        <f>=HYPERLINK("10.175.1.14\MWEB.12\BT\FlameGraph.BT.10.175.1.14.MWEB.12._APPDYNAMICS.622.svg", "&lt;FlGraph&gt;")</f>
      </c>
      <c r="Z212" s="1">
        <f>=HYPERLINK("10.175.1.14\MWEB.12\BT\FlameChart.BT.10.175.1.14.MWEB.12._APPDYNAMICS.622.svg", "&lt;FlChart&gt;")</f>
      </c>
      <c r="AA212" s="0" t="s">
        <v>107</v>
      </c>
      <c r="AB212" s="0" t="s">
        <v>108</v>
      </c>
      <c r="AC212" s="0" t="s">
        <v>154</v>
      </c>
      <c r="AD212" s="0" t="s">
        <v>572</v>
      </c>
      <c r="AE212" s="0" t="s">
        <v>109</v>
      </c>
    </row>
    <row r="213">
      <c r="A213" s="0" t="s">
        <v>28</v>
      </c>
      <c r="B213" s="0" t="s">
        <v>30</v>
      </c>
      <c r="C213" s="0" t="s">
        <v>155</v>
      </c>
      <c r="D213" s="0" t="s">
        <v>557</v>
      </c>
      <c r="E213" s="0" t="s">
        <v>558</v>
      </c>
      <c r="F213" s="0">
        <v>0</v>
      </c>
      <c r="G213" s="0" t="s">
        <v>106</v>
      </c>
      <c r="H213" s="0">
        <v>0</v>
      </c>
      <c r="I213" s="0">
        <v>0</v>
      </c>
      <c r="J213" s="0">
        <v>0</v>
      </c>
      <c r="K213" s="0">
        <v>0</v>
      </c>
      <c r="L213" s="0">
        <v>0</v>
      </c>
      <c r="M213" s="0">
        <v>0</v>
      </c>
      <c r="N213" s="0" t="b">
        <v>0</v>
      </c>
      <c r="O213" s="2">
        <v>44613.583333333336</v>
      </c>
      <c r="P213" s="2">
        <v>44613.625</v>
      </c>
      <c r="Q213" s="2">
        <v>44613.208333333336</v>
      </c>
      <c r="R213" s="2">
        <v>44613.25</v>
      </c>
      <c r="S213" s="0">
        <v>60</v>
      </c>
      <c r="T213" s="0">
        <v>12</v>
      </c>
      <c r="U213" s="0">
        <v>54</v>
      </c>
      <c r="V213" s="0">
        <v>627</v>
      </c>
      <c r="W213" s="1">
        <f>=HYPERLINK("10.175.1.14\MWEB.12\BT\EntityDetails.10.175.1.14.MWEB.12._APPDYNAMICS.627.xlsx", "&lt;Detail&gt;")</f>
      </c>
      <c r="X213" s="1">
        <f>=HYPERLINK("10.175.1.14\MWEB.12\BT\MetricGraphs.BT.10.175.1.14.MWEB.12.xlsx", "&lt;Metrics&gt;")</f>
      </c>
      <c r="Y213" s="1">
        <f>=HYPERLINK("10.175.1.14\MWEB.12\BT\FlameGraph.BT.10.175.1.14.MWEB.12._APPDYNAMICS.627.svg", "&lt;FlGraph&gt;")</f>
      </c>
      <c r="Z213" s="1">
        <f>=HYPERLINK("10.175.1.14\MWEB.12\BT\FlameChart.BT.10.175.1.14.MWEB.12._APPDYNAMICS.627.svg", "&lt;FlChart&gt;")</f>
      </c>
      <c r="AA213" s="0" t="s">
        <v>107</v>
      </c>
      <c r="AB213" s="0" t="s">
        <v>108</v>
      </c>
      <c r="AC213" s="0" t="s">
        <v>156</v>
      </c>
      <c r="AD213" s="0" t="s">
        <v>573</v>
      </c>
      <c r="AE213" s="0" t="s">
        <v>109</v>
      </c>
    </row>
    <row r="214">
      <c r="A214" s="0" t="s">
        <v>28</v>
      </c>
      <c r="B214" s="0" t="s">
        <v>30</v>
      </c>
      <c r="C214" s="0" t="s">
        <v>157</v>
      </c>
      <c r="D214" s="0" t="s">
        <v>557</v>
      </c>
      <c r="E214" s="0" t="s">
        <v>558</v>
      </c>
      <c r="F214" s="0">
        <v>0</v>
      </c>
      <c r="G214" s="0" t="s">
        <v>106</v>
      </c>
      <c r="H214" s="0">
        <v>0</v>
      </c>
      <c r="I214" s="0">
        <v>0</v>
      </c>
      <c r="J214" s="0">
        <v>0</v>
      </c>
      <c r="K214" s="0">
        <v>0</v>
      </c>
      <c r="L214" s="0">
        <v>0</v>
      </c>
      <c r="M214" s="0">
        <v>0</v>
      </c>
      <c r="N214" s="0" t="b">
        <v>0</v>
      </c>
      <c r="O214" s="2">
        <v>44613.583333333336</v>
      </c>
      <c r="P214" s="2">
        <v>44613.625</v>
      </c>
      <c r="Q214" s="2">
        <v>44613.208333333336</v>
      </c>
      <c r="R214" s="2">
        <v>44613.25</v>
      </c>
      <c r="S214" s="0">
        <v>60</v>
      </c>
      <c r="T214" s="0">
        <v>12</v>
      </c>
      <c r="U214" s="0">
        <v>53</v>
      </c>
      <c r="V214" s="0">
        <v>624</v>
      </c>
      <c r="W214" s="1">
        <f>=HYPERLINK("10.175.1.14\MWEB.12\BT\EntityDetails.10.175.1.14.MWEB.12._APPDYNAMICS.624.xlsx", "&lt;Detail&gt;")</f>
      </c>
      <c r="X214" s="1">
        <f>=HYPERLINK("10.175.1.14\MWEB.12\BT\MetricGraphs.BT.10.175.1.14.MWEB.12.xlsx", "&lt;Metrics&gt;")</f>
      </c>
      <c r="Y214" s="1">
        <f>=HYPERLINK("10.175.1.14\MWEB.12\BT\FlameGraph.BT.10.175.1.14.MWEB.12._APPDYNAMICS.624.svg", "&lt;FlGraph&gt;")</f>
      </c>
      <c r="Z214" s="1">
        <f>=HYPERLINK("10.175.1.14\MWEB.12\BT\FlameChart.BT.10.175.1.14.MWEB.12._APPDYNAMICS.624.svg", "&lt;FlChart&gt;")</f>
      </c>
      <c r="AA214" s="0" t="s">
        <v>107</v>
      </c>
      <c r="AB214" s="0" t="s">
        <v>108</v>
      </c>
      <c r="AC214" s="0" t="s">
        <v>158</v>
      </c>
      <c r="AD214" s="0" t="s">
        <v>574</v>
      </c>
      <c r="AE214" s="0" t="s">
        <v>109</v>
      </c>
    </row>
    <row r="215">
      <c r="A215" s="0" t="s">
        <v>28</v>
      </c>
      <c r="B215" s="0" t="s">
        <v>30</v>
      </c>
      <c r="C215" s="0" t="s">
        <v>159</v>
      </c>
      <c r="D215" s="0" t="s">
        <v>557</v>
      </c>
      <c r="E215" s="0" t="s">
        <v>558</v>
      </c>
      <c r="F215" s="0">
        <v>0</v>
      </c>
      <c r="G215" s="0" t="s">
        <v>106</v>
      </c>
      <c r="H215" s="0">
        <v>0</v>
      </c>
      <c r="I215" s="0">
        <v>0</v>
      </c>
      <c r="J215" s="0">
        <v>0</v>
      </c>
      <c r="K215" s="0">
        <v>0</v>
      </c>
      <c r="L215" s="0">
        <v>0</v>
      </c>
      <c r="M215" s="0">
        <v>0</v>
      </c>
      <c r="N215" s="0" t="b">
        <v>0</v>
      </c>
      <c r="O215" s="2">
        <v>44613.583333333336</v>
      </c>
      <c r="P215" s="2">
        <v>44613.625</v>
      </c>
      <c r="Q215" s="2">
        <v>44613.208333333336</v>
      </c>
      <c r="R215" s="2">
        <v>44613.25</v>
      </c>
      <c r="S215" s="0">
        <v>60</v>
      </c>
      <c r="T215" s="0">
        <v>12</v>
      </c>
      <c r="U215" s="0">
        <v>56</v>
      </c>
      <c r="V215" s="0">
        <v>626</v>
      </c>
      <c r="W215" s="1">
        <f>=HYPERLINK("10.175.1.14\MWEB.12\BT\EntityDetails.10.175.1.14.MWEB.12._APPDYNAMICS.626.xlsx", "&lt;Detail&gt;")</f>
      </c>
      <c r="X215" s="1">
        <f>=HYPERLINK("10.175.1.14\MWEB.12\BT\MetricGraphs.BT.10.175.1.14.MWEB.12.xlsx", "&lt;Metrics&gt;")</f>
      </c>
      <c r="Y215" s="1">
        <f>=HYPERLINK("10.175.1.14\MWEB.12\BT\FlameGraph.BT.10.175.1.14.MWEB.12._APPDYNAMICS.626.svg", "&lt;FlGraph&gt;")</f>
      </c>
      <c r="Z215" s="1">
        <f>=HYPERLINK("10.175.1.14\MWEB.12\BT\FlameChart.BT.10.175.1.14.MWEB.12._APPDYNAMICS.626.svg", "&lt;FlChart&gt;")</f>
      </c>
      <c r="AA215" s="0" t="s">
        <v>107</v>
      </c>
      <c r="AB215" s="0" t="s">
        <v>108</v>
      </c>
      <c r="AC215" s="0" t="s">
        <v>160</v>
      </c>
      <c r="AD215" s="0" t="s">
        <v>575</v>
      </c>
      <c r="AE215" s="0" t="s">
        <v>109</v>
      </c>
    </row>
    <row r="216">
      <c r="A216" s="0" t="s">
        <v>28</v>
      </c>
      <c r="B216" s="0" t="s">
        <v>30</v>
      </c>
      <c r="C216" s="0" t="s">
        <v>161</v>
      </c>
      <c r="D216" s="0" t="s">
        <v>557</v>
      </c>
      <c r="E216" s="0" t="s">
        <v>558</v>
      </c>
      <c r="F216" s="0">
        <v>0</v>
      </c>
      <c r="G216" s="0" t="s">
        <v>106</v>
      </c>
      <c r="H216" s="0">
        <v>0</v>
      </c>
      <c r="I216" s="0">
        <v>0</v>
      </c>
      <c r="J216" s="0">
        <v>0</v>
      </c>
      <c r="K216" s="0">
        <v>0</v>
      </c>
      <c r="L216" s="0">
        <v>0</v>
      </c>
      <c r="M216" s="0">
        <v>0</v>
      </c>
      <c r="N216" s="0" t="b">
        <v>0</v>
      </c>
      <c r="O216" s="2">
        <v>44613.583333333336</v>
      </c>
      <c r="P216" s="2">
        <v>44613.625</v>
      </c>
      <c r="Q216" s="2">
        <v>44613.208333333336</v>
      </c>
      <c r="R216" s="2">
        <v>44613.25</v>
      </c>
      <c r="S216" s="0">
        <v>60</v>
      </c>
      <c r="T216" s="0">
        <v>12</v>
      </c>
      <c r="U216" s="0">
        <v>48</v>
      </c>
      <c r="V216" s="0">
        <v>618</v>
      </c>
      <c r="W216" s="1">
        <f>=HYPERLINK("10.175.1.14\MWEB.12\BT\EntityDetails.10.175.1.14.MWEB.12._APPDYNAMICS.618.xlsx", "&lt;Detail&gt;")</f>
      </c>
      <c r="X216" s="1">
        <f>=HYPERLINK("10.175.1.14\MWEB.12\BT\MetricGraphs.BT.10.175.1.14.MWEB.12.xlsx", "&lt;Metrics&gt;")</f>
      </c>
      <c r="Y216" s="1">
        <f>=HYPERLINK("10.175.1.14\MWEB.12\BT\FlameGraph.BT.10.175.1.14.MWEB.12._APPDYNAMICS.618.svg", "&lt;FlGraph&gt;")</f>
      </c>
      <c r="Z216" s="1">
        <f>=HYPERLINK("10.175.1.14\MWEB.12\BT\FlameChart.BT.10.175.1.14.MWEB.12._APPDYNAMICS.618.svg", "&lt;FlChart&gt;")</f>
      </c>
      <c r="AA216" s="0" t="s">
        <v>107</v>
      </c>
      <c r="AB216" s="0" t="s">
        <v>108</v>
      </c>
      <c r="AC216" s="0" t="s">
        <v>162</v>
      </c>
      <c r="AD216" s="0" t="s">
        <v>576</v>
      </c>
      <c r="AE216" s="0" t="s">
        <v>109</v>
      </c>
    </row>
    <row r="217">
      <c r="A217" s="0" t="s">
        <v>28</v>
      </c>
      <c r="B217" s="0" t="s">
        <v>30</v>
      </c>
      <c r="C217" s="0" t="s">
        <v>163</v>
      </c>
      <c r="D217" s="0" t="s">
        <v>557</v>
      </c>
      <c r="E217" s="0" t="s">
        <v>558</v>
      </c>
      <c r="F217" s="0">
        <v>0</v>
      </c>
      <c r="G217" s="0" t="s">
        <v>106</v>
      </c>
      <c r="H217" s="0">
        <v>0</v>
      </c>
      <c r="I217" s="0">
        <v>0</v>
      </c>
      <c r="J217" s="0">
        <v>0</v>
      </c>
      <c r="K217" s="0">
        <v>0</v>
      </c>
      <c r="L217" s="0">
        <v>0</v>
      </c>
      <c r="M217" s="0">
        <v>0</v>
      </c>
      <c r="N217" s="0" t="b">
        <v>0</v>
      </c>
      <c r="O217" s="2">
        <v>44613.583333333336</v>
      </c>
      <c r="P217" s="2">
        <v>44613.625</v>
      </c>
      <c r="Q217" s="2">
        <v>44613.208333333336</v>
      </c>
      <c r="R217" s="2">
        <v>44613.25</v>
      </c>
      <c r="S217" s="0">
        <v>60</v>
      </c>
      <c r="T217" s="0">
        <v>12</v>
      </c>
      <c r="U217" s="0">
        <v>55</v>
      </c>
      <c r="V217" s="0">
        <v>625</v>
      </c>
      <c r="W217" s="1">
        <f>=HYPERLINK("10.175.1.14\MWEB.12\BT\EntityDetails.10.175.1.14.MWEB.12._APPDYNAMICS.625.xlsx", "&lt;Detail&gt;")</f>
      </c>
      <c r="X217" s="1">
        <f>=HYPERLINK("10.175.1.14\MWEB.12\BT\MetricGraphs.BT.10.175.1.14.MWEB.12.xlsx", "&lt;Metrics&gt;")</f>
      </c>
      <c r="Y217" s="1">
        <f>=HYPERLINK("10.175.1.14\MWEB.12\BT\FlameGraph.BT.10.175.1.14.MWEB.12._APPDYNAMICS.625.svg", "&lt;FlGraph&gt;")</f>
      </c>
      <c r="Z217" s="1">
        <f>=HYPERLINK("10.175.1.14\MWEB.12\BT\FlameChart.BT.10.175.1.14.MWEB.12._APPDYNAMICS.625.svg", "&lt;FlChart&gt;")</f>
      </c>
      <c r="AA217" s="0" t="s">
        <v>107</v>
      </c>
      <c r="AB217" s="0" t="s">
        <v>108</v>
      </c>
      <c r="AC217" s="0" t="s">
        <v>164</v>
      </c>
      <c r="AD217" s="0" t="s">
        <v>577</v>
      </c>
      <c r="AE217" s="0" t="s">
        <v>109</v>
      </c>
    </row>
    <row r="218">
      <c r="A218" s="0" t="s">
        <v>28</v>
      </c>
      <c r="B218" s="0" t="s">
        <v>30</v>
      </c>
      <c r="C218" s="0" t="s">
        <v>165</v>
      </c>
      <c r="D218" s="0" t="s">
        <v>557</v>
      </c>
      <c r="E218" s="0" t="s">
        <v>558</v>
      </c>
      <c r="F218" s="0">
        <v>0</v>
      </c>
      <c r="G218" s="0" t="s">
        <v>106</v>
      </c>
      <c r="H218" s="0">
        <v>0</v>
      </c>
      <c r="I218" s="0">
        <v>0</v>
      </c>
      <c r="J218" s="0">
        <v>0</v>
      </c>
      <c r="K218" s="0">
        <v>0</v>
      </c>
      <c r="L218" s="0">
        <v>0</v>
      </c>
      <c r="M218" s="0">
        <v>0</v>
      </c>
      <c r="N218" s="0" t="b">
        <v>0</v>
      </c>
      <c r="O218" s="2">
        <v>44613.583333333336</v>
      </c>
      <c r="P218" s="2">
        <v>44613.625</v>
      </c>
      <c r="Q218" s="2">
        <v>44613.208333333336</v>
      </c>
      <c r="R218" s="2">
        <v>44613.25</v>
      </c>
      <c r="S218" s="0">
        <v>60</v>
      </c>
      <c r="T218" s="0">
        <v>12</v>
      </c>
      <c r="U218" s="0">
        <v>47</v>
      </c>
      <c r="V218" s="0">
        <v>619</v>
      </c>
      <c r="W218" s="1">
        <f>=HYPERLINK("10.175.1.14\MWEB.12\BT\EntityDetails.10.175.1.14.MWEB.12._APPDYNAMICS.619.xlsx", "&lt;Detail&gt;")</f>
      </c>
      <c r="X218" s="1">
        <f>=HYPERLINK("10.175.1.14\MWEB.12\BT\MetricGraphs.BT.10.175.1.14.MWEB.12.xlsx", "&lt;Metrics&gt;")</f>
      </c>
      <c r="Y218" s="1">
        <f>=HYPERLINK("10.175.1.14\MWEB.12\BT\FlameGraph.BT.10.175.1.14.MWEB.12._APPDYNAMICS.619.svg", "&lt;FlGraph&gt;")</f>
      </c>
      <c r="Z218" s="1">
        <f>=HYPERLINK("10.175.1.14\MWEB.12\BT\FlameChart.BT.10.175.1.14.MWEB.12._APPDYNAMICS.619.svg", "&lt;FlChart&gt;")</f>
      </c>
      <c r="AA218" s="0" t="s">
        <v>107</v>
      </c>
      <c r="AB218" s="0" t="s">
        <v>108</v>
      </c>
      <c r="AC218" s="0" t="s">
        <v>166</v>
      </c>
      <c r="AD218" s="0" t="s">
        <v>578</v>
      </c>
      <c r="AE218" s="0" t="s">
        <v>109</v>
      </c>
    </row>
    <row r="219">
      <c r="A219" s="0" t="s">
        <v>28</v>
      </c>
      <c r="B219" s="0" t="s">
        <v>30</v>
      </c>
      <c r="C219" s="0" t="s">
        <v>143</v>
      </c>
      <c r="D219" s="0" t="s">
        <v>579</v>
      </c>
      <c r="E219" s="0" t="s">
        <v>229</v>
      </c>
      <c r="F219" s="0">
        <v>0</v>
      </c>
      <c r="G219" s="0" t="s">
        <v>106</v>
      </c>
      <c r="H219" s="0">
        <v>0</v>
      </c>
      <c r="I219" s="0">
        <v>0</v>
      </c>
      <c r="J219" s="0">
        <v>0</v>
      </c>
      <c r="K219" s="0">
        <v>0</v>
      </c>
      <c r="L219" s="0">
        <v>0</v>
      </c>
      <c r="M219" s="0">
        <v>0</v>
      </c>
      <c r="N219" s="0" t="b">
        <v>0</v>
      </c>
      <c r="O219" s="2">
        <v>44613.583333333336</v>
      </c>
      <c r="P219" s="2">
        <v>44613.625</v>
      </c>
      <c r="Q219" s="2">
        <v>44613.208333333336</v>
      </c>
      <c r="R219" s="2">
        <v>44613.25</v>
      </c>
      <c r="S219" s="0">
        <v>60</v>
      </c>
      <c r="T219" s="0">
        <v>12</v>
      </c>
      <c r="U219" s="0">
        <v>43</v>
      </c>
      <c r="V219" s="0">
        <v>483</v>
      </c>
      <c r="W219" s="1">
        <f>=HYPERLINK("10.175.1.14\MWEB.12\BT\EntityDetails.10.175.1.14.MWEB.12.FEP通信.483.xlsx", "&lt;Detail&gt;")</f>
      </c>
      <c r="X219" s="1">
        <f>=HYPERLINK("10.175.1.14\MWEB.12\BT\MetricGraphs.BT.10.175.1.14.MWEB.12.xlsx", "&lt;Metrics&gt;")</f>
      </c>
      <c r="Y219" s="1">
        <f>=HYPERLINK("10.175.1.14\MWEB.12\BT\FlameGraph.BT.10.175.1.14.MWEB.12.FEP通信.483.svg", "&lt;FlGraph&gt;")</f>
      </c>
      <c r="Z219" s="1">
        <f>=HYPERLINK("10.175.1.14\MWEB.12\BT\FlameChart.BT.10.175.1.14.MWEB.12.FEP通信.483.svg", "&lt;FlChart&gt;")</f>
      </c>
      <c r="AA219" s="0" t="s">
        <v>107</v>
      </c>
      <c r="AB219" s="0" t="s">
        <v>108</v>
      </c>
      <c r="AC219" s="0" t="s">
        <v>144</v>
      </c>
      <c r="AD219" s="0" t="s">
        <v>580</v>
      </c>
      <c r="AE219" s="0" t="s">
        <v>109</v>
      </c>
    </row>
    <row r="220">
      <c r="A220" s="0" t="s">
        <v>28</v>
      </c>
      <c r="B220" s="0" t="s">
        <v>30</v>
      </c>
      <c r="C220" s="0" t="s">
        <v>163</v>
      </c>
      <c r="D220" s="0" t="s">
        <v>579</v>
      </c>
      <c r="E220" s="0" t="s">
        <v>229</v>
      </c>
      <c r="F220" s="0">
        <v>0</v>
      </c>
      <c r="G220" s="0" t="s">
        <v>106</v>
      </c>
      <c r="H220" s="0">
        <v>0</v>
      </c>
      <c r="I220" s="0">
        <v>0</v>
      </c>
      <c r="J220" s="0">
        <v>0</v>
      </c>
      <c r="K220" s="0">
        <v>0</v>
      </c>
      <c r="L220" s="0">
        <v>0</v>
      </c>
      <c r="M220" s="0">
        <v>0</v>
      </c>
      <c r="N220" s="0" t="b">
        <v>0</v>
      </c>
      <c r="O220" s="2">
        <v>44613.583333333336</v>
      </c>
      <c r="P220" s="2">
        <v>44613.625</v>
      </c>
      <c r="Q220" s="2">
        <v>44613.208333333336</v>
      </c>
      <c r="R220" s="2">
        <v>44613.25</v>
      </c>
      <c r="S220" s="0">
        <v>60</v>
      </c>
      <c r="T220" s="0">
        <v>12</v>
      </c>
      <c r="U220" s="0">
        <v>55</v>
      </c>
      <c r="V220" s="0">
        <v>698</v>
      </c>
      <c r="W220" s="1">
        <f>=HYPERLINK("10.175.1.14\MWEB.12\BT\EntityDetails.10.175.1.14.MWEB.12.FEP通信.698.xlsx", "&lt;Detail&gt;")</f>
      </c>
      <c r="X220" s="1">
        <f>=HYPERLINK("10.175.1.14\MWEB.12\BT\MetricGraphs.BT.10.175.1.14.MWEB.12.xlsx", "&lt;Metrics&gt;")</f>
      </c>
      <c r="Y220" s="1">
        <f>=HYPERLINK("10.175.1.14\MWEB.12\BT\FlameGraph.BT.10.175.1.14.MWEB.12.FEP通信.698.svg", "&lt;FlGraph&gt;")</f>
      </c>
      <c r="Z220" s="1">
        <f>=HYPERLINK("10.175.1.14\MWEB.12\BT\FlameChart.BT.10.175.1.14.MWEB.12.FEP通信.698.svg", "&lt;FlChart&gt;")</f>
      </c>
      <c r="AA220" s="0" t="s">
        <v>107</v>
      </c>
      <c r="AB220" s="0" t="s">
        <v>108</v>
      </c>
      <c r="AC220" s="0" t="s">
        <v>164</v>
      </c>
      <c r="AD220" s="0" t="s">
        <v>581</v>
      </c>
      <c r="AE220" s="0" t="s">
        <v>109</v>
      </c>
    </row>
    <row r="221">
      <c r="A221" s="0" t="s">
        <v>28</v>
      </c>
      <c r="B221" s="0" t="s">
        <v>30</v>
      </c>
      <c r="C221" s="0" t="s">
        <v>139</v>
      </c>
      <c r="D221" s="0" t="s">
        <v>582</v>
      </c>
      <c r="E221" s="0" t="s">
        <v>223</v>
      </c>
      <c r="F221" s="0">
        <v>0</v>
      </c>
      <c r="G221" s="0" t="s">
        <v>106</v>
      </c>
      <c r="H221" s="0">
        <v>0</v>
      </c>
      <c r="I221" s="0">
        <v>0</v>
      </c>
      <c r="J221" s="0">
        <v>0</v>
      </c>
      <c r="K221" s="0">
        <v>0</v>
      </c>
      <c r="L221" s="0">
        <v>0</v>
      </c>
      <c r="M221" s="0">
        <v>0</v>
      </c>
      <c r="N221" s="0" t="b">
        <v>0</v>
      </c>
      <c r="O221" s="2">
        <v>44613.583333333336</v>
      </c>
      <c r="P221" s="2">
        <v>44613.625</v>
      </c>
      <c r="Q221" s="2">
        <v>44613.208333333336</v>
      </c>
      <c r="R221" s="2">
        <v>44613.25</v>
      </c>
      <c r="S221" s="0">
        <v>60</v>
      </c>
      <c r="T221" s="0">
        <v>12</v>
      </c>
      <c r="U221" s="0">
        <v>35</v>
      </c>
      <c r="V221" s="0">
        <v>431</v>
      </c>
      <c r="W221" s="1">
        <f>=HYPERLINK("10.175.1.14\MWEB.12\BT\EntityDetails.10.175.1.14.MWEB.12.Newsplus.431.xlsx", "&lt;Detail&gt;")</f>
      </c>
      <c r="X221" s="1">
        <f>=HYPERLINK("10.175.1.14\MWEB.12\BT\MetricGraphs.BT.10.175.1.14.MWEB.12.xlsx", "&lt;Metrics&gt;")</f>
      </c>
      <c r="Y221" s="1">
        <f>=HYPERLINK("10.175.1.14\MWEB.12\BT\FlameGraph.BT.10.175.1.14.MWEB.12.Newsplus.431.svg", "&lt;FlGraph&gt;")</f>
      </c>
      <c r="Z221" s="1">
        <f>=HYPERLINK("10.175.1.14\MWEB.12\BT\FlameChart.BT.10.175.1.14.MWEB.12.Newsplus.431.svg", "&lt;FlChart&gt;")</f>
      </c>
      <c r="AA221" s="0" t="s">
        <v>107</v>
      </c>
      <c r="AB221" s="0" t="s">
        <v>108</v>
      </c>
      <c r="AC221" s="0" t="s">
        <v>142</v>
      </c>
      <c r="AD221" s="0" t="s">
        <v>583</v>
      </c>
      <c r="AE221" s="0" t="s">
        <v>109</v>
      </c>
    </row>
    <row r="222">
      <c r="A222" s="0" t="s">
        <v>28</v>
      </c>
      <c r="B222" s="0" t="s">
        <v>30</v>
      </c>
      <c r="C222" s="0" t="s">
        <v>133</v>
      </c>
      <c r="D222" s="0" t="s">
        <v>584</v>
      </c>
      <c r="E222" s="0" t="s">
        <v>229</v>
      </c>
      <c r="F222" s="0">
        <v>0</v>
      </c>
      <c r="G222" s="0" t="s">
        <v>106</v>
      </c>
      <c r="H222" s="0">
        <v>0</v>
      </c>
      <c r="I222" s="0">
        <v>0</v>
      </c>
      <c r="J222" s="0">
        <v>0</v>
      </c>
      <c r="K222" s="0">
        <v>0</v>
      </c>
      <c r="L222" s="0">
        <v>0</v>
      </c>
      <c r="M222" s="0">
        <v>0</v>
      </c>
      <c r="N222" s="0" t="b">
        <v>0</v>
      </c>
      <c r="O222" s="2">
        <v>44613.583333333336</v>
      </c>
      <c r="P222" s="2">
        <v>44613.625</v>
      </c>
      <c r="Q222" s="2">
        <v>44613.208333333336</v>
      </c>
      <c r="R222" s="2">
        <v>44613.25</v>
      </c>
      <c r="S222" s="0">
        <v>60</v>
      </c>
      <c r="T222" s="0">
        <v>12</v>
      </c>
      <c r="U222" s="0">
        <v>36</v>
      </c>
      <c r="V222" s="0">
        <v>481</v>
      </c>
      <c r="W222" s="1">
        <f>=HYPERLINK("10.175.1.14\MWEB.12\BT\EntityDetails.10.175.1.14.MWEB.12.TougouWebLog.481.xlsx", "&lt;Detail&gt;")</f>
      </c>
      <c r="X222" s="1">
        <f>=HYPERLINK("10.175.1.14\MWEB.12\BT\MetricGraphs.BT.10.175.1.14.MWEB.12.xlsx", "&lt;Metrics&gt;")</f>
      </c>
      <c r="Y222" s="1">
        <f>=HYPERLINK("10.175.1.14\MWEB.12\BT\FlameGraph.BT.10.175.1.14.MWEB.12.TougouWebLog.481.svg", "&lt;FlGraph&gt;")</f>
      </c>
      <c r="Z222" s="1">
        <f>=HYPERLINK("10.175.1.14\MWEB.12\BT\FlameChart.BT.10.175.1.14.MWEB.12.TougouWebLog.481.svg", "&lt;FlChart&gt;")</f>
      </c>
      <c r="AA222" s="0" t="s">
        <v>107</v>
      </c>
      <c r="AB222" s="0" t="s">
        <v>108</v>
      </c>
      <c r="AC222" s="0" t="s">
        <v>134</v>
      </c>
      <c r="AD222" s="0" t="s">
        <v>585</v>
      </c>
      <c r="AE222" s="0" t="s">
        <v>109</v>
      </c>
    </row>
    <row r="223">
      <c r="A223" s="0" t="s">
        <v>28</v>
      </c>
      <c r="B223" s="0" t="s">
        <v>30</v>
      </c>
      <c r="C223" s="0" t="s">
        <v>135</v>
      </c>
      <c r="D223" s="0" t="s">
        <v>584</v>
      </c>
      <c r="E223" s="0" t="s">
        <v>229</v>
      </c>
      <c r="F223" s="0">
        <v>0</v>
      </c>
      <c r="G223" s="0" t="s">
        <v>106</v>
      </c>
      <c r="H223" s="0">
        <v>0</v>
      </c>
      <c r="I223" s="0">
        <v>0</v>
      </c>
      <c r="J223" s="0">
        <v>0</v>
      </c>
      <c r="K223" s="0">
        <v>0</v>
      </c>
      <c r="L223" s="0">
        <v>0</v>
      </c>
      <c r="M223" s="0">
        <v>0</v>
      </c>
      <c r="N223" s="0" t="b">
        <v>0</v>
      </c>
      <c r="O223" s="2">
        <v>44613.583333333336</v>
      </c>
      <c r="P223" s="2">
        <v>44613.625</v>
      </c>
      <c r="Q223" s="2">
        <v>44613.208333333336</v>
      </c>
      <c r="R223" s="2">
        <v>44613.25</v>
      </c>
      <c r="S223" s="0">
        <v>60</v>
      </c>
      <c r="T223" s="0">
        <v>12</v>
      </c>
      <c r="U223" s="0">
        <v>37</v>
      </c>
      <c r="V223" s="0">
        <v>482</v>
      </c>
      <c r="W223" s="1">
        <f>=HYPERLINK("10.175.1.14\MWEB.12\BT\EntityDetails.10.175.1.14.MWEB.12.TougouWebLog.482.xlsx", "&lt;Detail&gt;")</f>
      </c>
      <c r="X223" s="1">
        <f>=HYPERLINK("10.175.1.14\MWEB.12\BT\MetricGraphs.BT.10.175.1.14.MWEB.12.xlsx", "&lt;Metrics&gt;")</f>
      </c>
      <c r="Y223" s="1">
        <f>=HYPERLINK("10.175.1.14\MWEB.12\BT\FlameGraph.BT.10.175.1.14.MWEB.12.TougouWebLog.482.svg", "&lt;FlGraph&gt;")</f>
      </c>
      <c r="Z223" s="1">
        <f>=HYPERLINK("10.175.1.14\MWEB.12\BT\FlameChart.BT.10.175.1.14.MWEB.12.TougouWebLog.482.svg", "&lt;FlChart&gt;")</f>
      </c>
      <c r="AA223" s="0" t="s">
        <v>107</v>
      </c>
      <c r="AB223" s="0" t="s">
        <v>108</v>
      </c>
      <c r="AC223" s="0" t="s">
        <v>136</v>
      </c>
      <c r="AD223" s="0" t="s">
        <v>586</v>
      </c>
      <c r="AE223" s="0" t="s">
        <v>109</v>
      </c>
    </row>
    <row r="224">
      <c r="A224" s="0" t="s">
        <v>28</v>
      </c>
      <c r="B224" s="0" t="s">
        <v>30</v>
      </c>
      <c r="C224" s="0" t="s">
        <v>137</v>
      </c>
      <c r="D224" s="0" t="s">
        <v>584</v>
      </c>
      <c r="E224" s="0" t="s">
        <v>229</v>
      </c>
      <c r="F224" s="0">
        <v>0</v>
      </c>
      <c r="G224" s="0" t="s">
        <v>106</v>
      </c>
      <c r="H224" s="0">
        <v>0</v>
      </c>
      <c r="I224" s="0">
        <v>0</v>
      </c>
      <c r="J224" s="0">
        <v>0</v>
      </c>
      <c r="K224" s="0">
        <v>0</v>
      </c>
      <c r="L224" s="0">
        <v>0</v>
      </c>
      <c r="M224" s="0">
        <v>0</v>
      </c>
      <c r="N224" s="0" t="b">
        <v>0</v>
      </c>
      <c r="O224" s="2">
        <v>44613.583333333336</v>
      </c>
      <c r="P224" s="2">
        <v>44613.625</v>
      </c>
      <c r="Q224" s="2">
        <v>44613.208333333336</v>
      </c>
      <c r="R224" s="2">
        <v>44613.25</v>
      </c>
      <c r="S224" s="0">
        <v>60</v>
      </c>
      <c r="T224" s="0">
        <v>12</v>
      </c>
      <c r="U224" s="0">
        <v>38</v>
      </c>
      <c r="V224" s="0">
        <v>480</v>
      </c>
      <c r="W224" s="1">
        <f>=HYPERLINK("10.175.1.14\MWEB.12\BT\EntityDetails.10.175.1.14.MWEB.12.TougouWebLog.480.xlsx", "&lt;Detail&gt;")</f>
      </c>
      <c r="X224" s="1">
        <f>=HYPERLINK("10.175.1.14\MWEB.12\BT\MetricGraphs.BT.10.175.1.14.MWEB.12.xlsx", "&lt;Metrics&gt;")</f>
      </c>
      <c r="Y224" s="1">
        <f>=HYPERLINK("10.175.1.14\MWEB.12\BT\FlameGraph.BT.10.175.1.14.MWEB.12.TougouWebLog.480.svg", "&lt;FlGraph&gt;")</f>
      </c>
      <c r="Z224" s="1">
        <f>=HYPERLINK("10.175.1.14\MWEB.12\BT\FlameChart.BT.10.175.1.14.MWEB.12.TougouWebLog.480.svg", "&lt;FlChart&gt;")</f>
      </c>
      <c r="AA224" s="0" t="s">
        <v>107</v>
      </c>
      <c r="AB224" s="0" t="s">
        <v>108</v>
      </c>
      <c r="AC224" s="0" t="s">
        <v>138</v>
      </c>
      <c r="AD224" s="0" t="s">
        <v>587</v>
      </c>
      <c r="AE224" s="0" t="s">
        <v>109</v>
      </c>
    </row>
  </sheetData>
  <conditionalFormatting sqref="M5:M224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24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24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24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30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</v>
      </c>
      <c r="C5" s="1">
        <f>=HYPERLINK("#'4.Applications'!A1", "&lt;Go&gt;")</f>
      </c>
    </row>
    <row r="6">
      <c r="A6" s="0" t="s">
        <v>39</v>
      </c>
      <c r="B6" s="0">
        <v>1</v>
      </c>
      <c r="C6" s="1">
        <f>=HYPERLINK("#'4.Applications.Hourly'!A1", "&lt;Go&gt;")</f>
      </c>
    </row>
    <row r="7">
      <c r="A7" s="0" t="s">
        <v>40</v>
      </c>
      <c r="B7" s="0" t="s">
        <v>41</v>
      </c>
      <c r="C7" s="1">
        <f>=HYPERLINK("#'4.Applications.Perf'!A1", "&lt;Go&gt;")</f>
      </c>
    </row>
    <row r="8">
      <c r="A8" s="0" t="s">
        <v>42</v>
      </c>
      <c r="B8" s="0">
        <v>21</v>
      </c>
      <c r="C8" s="1">
        <f>=HYPERLINK("#'5.Tiers'!A1", "&lt;Go&gt;")</f>
      </c>
    </row>
    <row r="9">
      <c r="A9" s="0" t="s">
        <v>43</v>
      </c>
      <c r="B9" s="0">
        <v>21</v>
      </c>
      <c r="C9" s="1">
        <f>=HYPERLINK("#'5.Tiers.Hourly'!A1", "&lt;Go&gt;")</f>
      </c>
    </row>
    <row r="10">
      <c r="A10" s="0" t="s">
        <v>44</v>
      </c>
      <c r="B10" s="0" t="s">
        <v>45</v>
      </c>
      <c r="C10" s="1">
        <f>=HYPERLINK("#'5.Tiers.Perf'!A1", "&lt;Go&gt;")</f>
      </c>
    </row>
    <row r="11">
      <c r="A11" s="0" t="s">
        <v>46</v>
      </c>
      <c r="B11" s="0" t="s">
        <v>47</v>
      </c>
      <c r="C11" s="1">
        <f>=HYPERLINK("#'5.Tiers.Availability'!A1", "&lt;Go&gt;")</f>
      </c>
    </row>
    <row r="12">
      <c r="A12" s="0" t="s">
        <v>48</v>
      </c>
      <c r="B12" s="0">
        <v>13</v>
      </c>
      <c r="C12" s="1">
        <f>=HYPERLINK("#'6.Nodes'!A1", "&lt;Go&gt;")</f>
      </c>
    </row>
    <row r="13">
      <c r="A13" s="0" t="s">
        <v>49</v>
      </c>
      <c r="B13" s="0">
        <v>13</v>
      </c>
      <c r="C13" s="1">
        <f>=HYPERLINK("#'6.Nodes.Hourly'!A1", "&lt;Go&gt;")</f>
      </c>
    </row>
    <row r="14">
      <c r="A14" s="0" t="s">
        <v>50</v>
      </c>
      <c r="B14" s="0" t="s">
        <v>51</v>
      </c>
      <c r="C14" s="1">
        <f>=HYPERLINK("#'6.Nodes.Perf'!A1", "&lt;Go&gt;")</f>
      </c>
    </row>
    <row r="15">
      <c r="A15" s="0" t="s">
        <v>52</v>
      </c>
      <c r="B15" s="0" t="s">
        <v>53</v>
      </c>
      <c r="C15" s="1">
        <f>=HYPERLINK("#'6.Nodes.Availability'!A1", "&lt;Go&gt;")</f>
      </c>
    </row>
    <row r="16">
      <c r="A16" s="0" t="s">
        <v>54</v>
      </c>
      <c r="B16" s="0">
        <v>6</v>
      </c>
      <c r="C16" s="1">
        <f>=HYPERLINK("#'7.Backends'!A1", "&lt;Go&gt;")</f>
      </c>
    </row>
    <row r="17">
      <c r="A17" s="0" t="s">
        <v>55</v>
      </c>
      <c r="B17" s="0">
        <v>6</v>
      </c>
      <c r="C17" s="1">
        <f>=HYPERLINK("#'7.Backends.Hourly'!A1", "&lt;Go&gt;")</f>
      </c>
    </row>
    <row r="18">
      <c r="A18" s="0" t="s">
        <v>56</v>
      </c>
      <c r="B18" s="0" t="s">
        <v>45</v>
      </c>
      <c r="C18" s="1">
        <f>=HYPERLINK("#'7.Backends.Perf'!A1", "&lt;Go&gt;")</f>
      </c>
    </row>
    <row r="19">
      <c r="A19" s="0" t="s">
        <v>57</v>
      </c>
      <c r="B19" s="0">
        <v>220</v>
      </c>
      <c r="C19" s="1">
        <f>=HYPERLINK("#'8.BTs'!A1", "&lt;Go&gt;")</f>
      </c>
    </row>
    <row r="20">
      <c r="A20" s="0" t="s">
        <v>58</v>
      </c>
      <c r="B20" s="0">
        <v>220</v>
      </c>
      <c r="C20" s="1">
        <f>=HYPERLINK("#'8.BTs.Hourly'!A1", "&lt;Go&gt;")</f>
      </c>
    </row>
    <row r="21">
      <c r="A21" s="0" t="s">
        <v>59</v>
      </c>
      <c r="B21" s="0" t="s">
        <v>51</v>
      </c>
      <c r="C21" s="1">
        <f>=HYPERLINK("#'8.BTs.Perf'!A1", "&lt;Go&gt;")</f>
      </c>
    </row>
    <row r="22">
      <c r="A22" s="0" t="s">
        <v>60</v>
      </c>
      <c r="B22" s="0">
        <v>218</v>
      </c>
      <c r="C22" s="1">
        <f>=HYPERLINK("#'9.SEPs'!A1", "&lt;Go&gt;")</f>
      </c>
    </row>
    <row r="23">
      <c r="A23" s="0" t="s">
        <v>61</v>
      </c>
      <c r="B23" s="0">
        <v>218</v>
      </c>
      <c r="C23" s="1">
        <f>=HYPERLINK("#'9.SEPs.Hourly'!A1", "&lt;Go&gt;")</f>
      </c>
    </row>
    <row r="24">
      <c r="A24" s="0" t="s">
        <v>62</v>
      </c>
      <c r="B24" s="0" t="s">
        <v>51</v>
      </c>
      <c r="C24" s="1">
        <f>=HYPERLINK("#'9.SEPs.Perf'!A1", "&lt;Go&gt;")</f>
      </c>
    </row>
    <row r="25">
      <c r="A25" s="0" t="s">
        <v>63</v>
      </c>
      <c r="C25" s="1">
        <f>=HYPERLINK("#'10.Errors'!A1", "&lt;Go&gt;")</f>
      </c>
    </row>
    <row r="26">
      <c r="A26" s="0" t="s">
        <v>64</v>
      </c>
      <c r="C26" s="1">
        <f>=HYPERLINK("#'10.Errors.Hourly'!A1", "&lt;Go&gt;")</f>
      </c>
    </row>
    <row r="27">
      <c r="A27" s="0" t="s">
        <v>65</v>
      </c>
      <c r="C27" s="1">
        <f>=HYPERLINK("#'10.Errors.Perf'!A1", "&lt;Go&gt;")</f>
      </c>
    </row>
    <row r="28">
      <c r="A28" s="0" t="s">
        <v>66</v>
      </c>
      <c r="C28" s="1">
        <f>=HYPERLINK("#'11.Information Points'!A1", "&lt;Go&gt;")</f>
      </c>
    </row>
    <row r="29">
      <c r="A29" s="0" t="s">
        <v>67</v>
      </c>
      <c r="C29" s="1">
        <f>=HYPERLINK("#'11.Information Points.Hourly'!A1", "&lt;Go&gt;")</f>
      </c>
    </row>
    <row r="30">
      <c r="A30" s="0" t="s">
        <v>68</v>
      </c>
      <c r="C30" s="1">
        <f>=HYPERLINK("#'11.Information Points.Perf'!A1", "&lt;Go&gt;")</f>
      </c>
    </row>
  </sheetData>
  <headerFooter/>
  <tableParts>
    <tablePart r:id="rId1"/>
  </tableParts>
</worksheet>
</file>

<file path=xl/worksheets/sheet2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=HYPERLINK("#'8.BTs'!A1", "&lt;Go&gt;")</f>
      </c>
    </row>
  </sheetData>
  <headerFooter/>
</worksheet>
</file>

<file path=xl/worksheets/sheet21.xml><?xml version="1.0" encoding="utf-8"?>
<worksheet xmlns:r="http://schemas.openxmlformats.org/officeDocument/2006/relationships" xmlns="http://schemas.openxmlformats.org/spreadsheetml/2006/main">
  <dimension ref="A1:AC222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15" max="15" width="20" customWidth="1"/>
    <col min="16" max="16" width="20" customWidth="1"/>
    <col min="17" max="17" width="20" customWidth="1"/>
    <col min="18" max="18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=HYPERLINK("#'9.SEPs.Perf'!A1",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588</v>
      </c>
      <c r="E4" s="0" t="s">
        <v>589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95</v>
      </c>
      <c r="N4" s="0" t="s">
        <v>96</v>
      </c>
      <c r="O4" s="0" t="s">
        <v>4</v>
      </c>
      <c r="P4" s="0" t="s">
        <v>5</v>
      </c>
      <c r="Q4" s="0" t="s">
        <v>97</v>
      </c>
      <c r="R4" s="0" t="s">
        <v>98</v>
      </c>
      <c r="S4" s="0" t="s">
        <v>99</v>
      </c>
      <c r="T4" s="0" t="s">
        <v>26</v>
      </c>
      <c r="U4" s="0" t="s">
        <v>118</v>
      </c>
      <c r="V4" s="0" t="s">
        <v>590</v>
      </c>
      <c r="W4" s="0" t="s">
        <v>100</v>
      </c>
      <c r="X4" s="0" t="s">
        <v>101</v>
      </c>
      <c r="Y4" s="0" t="s">
        <v>78</v>
      </c>
      <c r="Z4" s="0" t="s">
        <v>104</v>
      </c>
      <c r="AA4" s="0" t="s">
        <v>119</v>
      </c>
      <c r="AB4" s="0" t="s">
        <v>591</v>
      </c>
      <c r="AC4" s="0" t="s">
        <v>105</v>
      </c>
    </row>
    <row r="5">
      <c r="A5" s="0" t="s">
        <v>28</v>
      </c>
      <c r="B5" s="0" t="s">
        <v>30</v>
      </c>
      <c r="C5" s="0" t="s">
        <v>125</v>
      </c>
      <c r="D5" s="0" t="s">
        <v>225</v>
      </c>
      <c r="E5" s="0" t="s">
        <v>226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 t="b">
        <v>0</v>
      </c>
      <c r="O5" s="2">
        <v>44613.583333333336</v>
      </c>
      <c r="P5" s="2">
        <v>44613.625</v>
      </c>
      <c r="Q5" s="2">
        <v>44613.208333333336</v>
      </c>
      <c r="R5" s="2">
        <v>44613.25</v>
      </c>
      <c r="S5" s="0">
        <v>60</v>
      </c>
      <c r="T5" s="0">
        <v>12</v>
      </c>
      <c r="U5" s="0">
        <v>42</v>
      </c>
      <c r="V5" s="0">
        <v>149</v>
      </c>
      <c r="W5" s="1">
        <f>=HYPERLINK("10.175.1.14\MWEB.12\SEP\EntityDetails.10.175.1.14.MWEB.12.-.POST.149.xlsx", "&lt;Detail&gt;")</f>
      </c>
      <c r="X5" s="1">
        <f>=HYPERLINK("10.175.1.14\MWEB.12\SEP\MetricGraphs.SEP.10.175.1.14.MWEB.12.xlsx", "&lt;Metrics&gt;")</f>
      </c>
      <c r="Y5" s="0" t="s">
        <v>107</v>
      </c>
      <c r="Z5" s="0" t="s">
        <v>108</v>
      </c>
      <c r="AA5" s="0" t="s">
        <v>126</v>
      </c>
      <c r="AB5" s="0" t="s">
        <v>592</v>
      </c>
      <c r="AC5" s="0" t="s">
        <v>109</v>
      </c>
    </row>
    <row r="6">
      <c r="A6" s="0" t="s">
        <v>28</v>
      </c>
      <c r="B6" s="0" t="s">
        <v>30</v>
      </c>
      <c r="C6" s="0" t="s">
        <v>127</v>
      </c>
      <c r="D6" s="0" t="s">
        <v>225</v>
      </c>
      <c r="E6" s="0" t="s">
        <v>226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 t="b">
        <v>0</v>
      </c>
      <c r="O6" s="2">
        <v>44613.583333333336</v>
      </c>
      <c r="P6" s="2">
        <v>44613.625</v>
      </c>
      <c r="Q6" s="2">
        <v>44613.208333333336</v>
      </c>
      <c r="R6" s="2">
        <v>44613.25</v>
      </c>
      <c r="S6" s="0">
        <v>60</v>
      </c>
      <c r="T6" s="0">
        <v>12</v>
      </c>
      <c r="U6" s="0">
        <v>39</v>
      </c>
      <c r="V6" s="0">
        <v>103</v>
      </c>
      <c r="W6" s="1">
        <f>=HYPERLINK("10.175.1.14\MWEB.12\SEP\EntityDetails.10.175.1.14.MWEB.12.-.POST.103.xlsx", "&lt;Detail&gt;")</f>
      </c>
      <c r="X6" s="1">
        <f>=HYPERLINK("10.175.1.14\MWEB.12\SEP\MetricGraphs.SEP.10.175.1.14.MWEB.12.xlsx", "&lt;Metrics&gt;")</f>
      </c>
      <c r="Y6" s="0" t="s">
        <v>107</v>
      </c>
      <c r="Z6" s="0" t="s">
        <v>108</v>
      </c>
      <c r="AA6" s="0" t="s">
        <v>128</v>
      </c>
      <c r="AB6" s="0" t="s">
        <v>593</v>
      </c>
      <c r="AC6" s="0" t="s">
        <v>109</v>
      </c>
    </row>
    <row r="7">
      <c r="A7" s="0" t="s">
        <v>28</v>
      </c>
      <c r="B7" s="0" t="s">
        <v>30</v>
      </c>
      <c r="C7" s="0" t="s">
        <v>129</v>
      </c>
      <c r="D7" s="0" t="s">
        <v>225</v>
      </c>
      <c r="E7" s="0" t="s">
        <v>226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 t="b">
        <v>0</v>
      </c>
      <c r="O7" s="2">
        <v>44613.583333333336</v>
      </c>
      <c r="P7" s="2">
        <v>44613.625</v>
      </c>
      <c r="Q7" s="2">
        <v>44613.208333333336</v>
      </c>
      <c r="R7" s="2">
        <v>44613.25</v>
      </c>
      <c r="S7" s="0">
        <v>60</v>
      </c>
      <c r="T7" s="0">
        <v>12</v>
      </c>
      <c r="U7" s="0">
        <v>41</v>
      </c>
      <c r="V7" s="0">
        <v>352</v>
      </c>
      <c r="W7" s="1">
        <f>=HYPERLINK("10.175.1.14\MWEB.12\SEP\EntityDetails.10.175.1.14.MWEB.12.-.POST.352.xlsx", "&lt;Detail&gt;")</f>
      </c>
      <c r="X7" s="1">
        <f>=HYPERLINK("10.175.1.14\MWEB.12\SEP\MetricGraphs.SEP.10.175.1.14.MWEB.12.xlsx", "&lt;Metrics&gt;")</f>
      </c>
      <c r="Y7" s="0" t="s">
        <v>107</v>
      </c>
      <c r="Z7" s="0" t="s">
        <v>108</v>
      </c>
      <c r="AA7" s="0" t="s">
        <v>130</v>
      </c>
      <c r="AB7" s="0" t="s">
        <v>594</v>
      </c>
      <c r="AC7" s="0" t="s">
        <v>109</v>
      </c>
    </row>
    <row r="8">
      <c r="A8" s="0" t="s">
        <v>28</v>
      </c>
      <c r="B8" s="0" t="s">
        <v>30</v>
      </c>
      <c r="C8" s="0" t="s">
        <v>131</v>
      </c>
      <c r="D8" s="0" t="s">
        <v>225</v>
      </c>
      <c r="E8" s="0" t="s">
        <v>226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 t="b">
        <v>0</v>
      </c>
      <c r="O8" s="2">
        <v>44613.583333333336</v>
      </c>
      <c r="P8" s="2">
        <v>44613.625</v>
      </c>
      <c r="Q8" s="2">
        <v>44613.208333333336</v>
      </c>
      <c r="R8" s="2">
        <v>44613.25</v>
      </c>
      <c r="S8" s="0">
        <v>60</v>
      </c>
      <c r="T8" s="0">
        <v>12</v>
      </c>
      <c r="U8" s="0">
        <v>40</v>
      </c>
      <c r="V8" s="0">
        <v>357</v>
      </c>
      <c r="W8" s="1">
        <f>=HYPERLINK("10.175.1.14\MWEB.12\SEP\EntityDetails.10.175.1.14.MWEB.12.-.POST.357.xlsx", "&lt;Detail&gt;")</f>
      </c>
      <c r="X8" s="1">
        <f>=HYPERLINK("10.175.1.14\MWEB.12\SEP\MetricGraphs.SEP.10.175.1.14.MWEB.12.xlsx", "&lt;Metrics&gt;")</f>
      </c>
      <c r="Y8" s="0" t="s">
        <v>107</v>
      </c>
      <c r="Z8" s="0" t="s">
        <v>108</v>
      </c>
      <c r="AA8" s="0" t="s">
        <v>132</v>
      </c>
      <c r="AB8" s="0" t="s">
        <v>595</v>
      </c>
      <c r="AC8" s="0" t="s">
        <v>109</v>
      </c>
    </row>
    <row r="9">
      <c r="A9" s="0" t="s">
        <v>28</v>
      </c>
      <c r="B9" s="0" t="s">
        <v>30</v>
      </c>
      <c r="C9" s="0" t="s">
        <v>133</v>
      </c>
      <c r="D9" s="0" t="s">
        <v>225</v>
      </c>
      <c r="E9" s="0" t="s">
        <v>226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 t="b">
        <v>0</v>
      </c>
      <c r="O9" s="2">
        <v>44613.583333333336</v>
      </c>
      <c r="P9" s="2">
        <v>44613.625</v>
      </c>
      <c r="Q9" s="2">
        <v>44613.208333333336</v>
      </c>
      <c r="R9" s="2">
        <v>44613.25</v>
      </c>
      <c r="S9" s="0">
        <v>60</v>
      </c>
      <c r="T9" s="0">
        <v>12</v>
      </c>
      <c r="U9" s="0">
        <v>36</v>
      </c>
      <c r="V9" s="0">
        <v>154</v>
      </c>
      <c r="W9" s="1">
        <f>=HYPERLINK("10.175.1.14\MWEB.12\SEP\EntityDetails.10.175.1.14.MWEB.12.-.POST.154.xlsx", "&lt;Detail&gt;")</f>
      </c>
      <c r="X9" s="1">
        <f>=HYPERLINK("10.175.1.14\MWEB.12\SEP\MetricGraphs.SEP.10.175.1.14.MWEB.12.xlsx", "&lt;Metrics&gt;")</f>
      </c>
      <c r="Y9" s="0" t="s">
        <v>107</v>
      </c>
      <c r="Z9" s="0" t="s">
        <v>108</v>
      </c>
      <c r="AA9" s="0" t="s">
        <v>134</v>
      </c>
      <c r="AB9" s="0" t="s">
        <v>596</v>
      </c>
      <c r="AC9" s="0" t="s">
        <v>109</v>
      </c>
    </row>
    <row r="10">
      <c r="A10" s="0" t="s">
        <v>28</v>
      </c>
      <c r="B10" s="0" t="s">
        <v>30</v>
      </c>
      <c r="C10" s="0" t="s">
        <v>135</v>
      </c>
      <c r="D10" s="0" t="s">
        <v>225</v>
      </c>
      <c r="E10" s="0" t="s">
        <v>226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 t="b">
        <v>0</v>
      </c>
      <c r="O10" s="2">
        <v>44613.583333333336</v>
      </c>
      <c r="P10" s="2">
        <v>44613.625</v>
      </c>
      <c r="Q10" s="2">
        <v>44613.208333333336</v>
      </c>
      <c r="R10" s="2">
        <v>44613.25</v>
      </c>
      <c r="S10" s="0">
        <v>60</v>
      </c>
      <c r="T10" s="0">
        <v>12</v>
      </c>
      <c r="U10" s="0">
        <v>37</v>
      </c>
      <c r="V10" s="0">
        <v>276</v>
      </c>
      <c r="W10" s="1">
        <f>=HYPERLINK("10.175.1.14\MWEB.12\SEP\EntityDetails.10.175.1.14.MWEB.12.-.POST.276.xlsx", "&lt;Detail&gt;")</f>
      </c>
      <c r="X10" s="1">
        <f>=HYPERLINK("10.175.1.14\MWEB.12\SEP\MetricGraphs.SEP.10.175.1.14.MWEB.12.xlsx", "&lt;Metrics&gt;")</f>
      </c>
      <c r="Y10" s="0" t="s">
        <v>107</v>
      </c>
      <c r="Z10" s="0" t="s">
        <v>108</v>
      </c>
      <c r="AA10" s="0" t="s">
        <v>136</v>
      </c>
      <c r="AB10" s="0" t="s">
        <v>597</v>
      </c>
      <c r="AC10" s="0" t="s">
        <v>109</v>
      </c>
    </row>
    <row r="11">
      <c r="A11" s="0" t="s">
        <v>28</v>
      </c>
      <c r="B11" s="0" t="s">
        <v>30</v>
      </c>
      <c r="C11" s="0" t="s">
        <v>137</v>
      </c>
      <c r="D11" s="0" t="s">
        <v>225</v>
      </c>
      <c r="E11" s="0" t="s">
        <v>226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 t="b">
        <v>0</v>
      </c>
      <c r="O11" s="2">
        <v>44613.583333333336</v>
      </c>
      <c r="P11" s="2">
        <v>44613.625</v>
      </c>
      <c r="Q11" s="2">
        <v>44613.208333333336</v>
      </c>
      <c r="R11" s="2">
        <v>44613.25</v>
      </c>
      <c r="S11" s="0">
        <v>60</v>
      </c>
      <c r="T11" s="0">
        <v>12</v>
      </c>
      <c r="U11" s="0">
        <v>38</v>
      </c>
      <c r="V11" s="0">
        <v>278</v>
      </c>
      <c r="W11" s="1">
        <f>=HYPERLINK("10.175.1.14\MWEB.12\SEP\EntityDetails.10.175.1.14.MWEB.12.-.POST.278.xlsx", "&lt;Detail&gt;")</f>
      </c>
      <c r="X11" s="1">
        <f>=HYPERLINK("10.175.1.14\MWEB.12\SEP\MetricGraphs.SEP.10.175.1.14.MWEB.12.xlsx", "&lt;Metrics&gt;")</f>
      </c>
      <c r="Y11" s="0" t="s">
        <v>107</v>
      </c>
      <c r="Z11" s="0" t="s">
        <v>108</v>
      </c>
      <c r="AA11" s="0" t="s">
        <v>138</v>
      </c>
      <c r="AB11" s="0" t="s">
        <v>598</v>
      </c>
      <c r="AC11" s="0" t="s">
        <v>109</v>
      </c>
    </row>
    <row r="12">
      <c r="A12" s="0" t="s">
        <v>28</v>
      </c>
      <c r="B12" s="0" t="s">
        <v>30</v>
      </c>
      <c r="C12" s="0" t="s">
        <v>143</v>
      </c>
      <c r="D12" s="0" t="s">
        <v>225</v>
      </c>
      <c r="E12" s="0" t="s">
        <v>226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 t="b">
        <v>0</v>
      </c>
      <c r="O12" s="2">
        <v>44613.583333333336</v>
      </c>
      <c r="P12" s="2">
        <v>44613.625</v>
      </c>
      <c r="Q12" s="2">
        <v>44613.208333333336</v>
      </c>
      <c r="R12" s="2">
        <v>44613.25</v>
      </c>
      <c r="S12" s="0">
        <v>60</v>
      </c>
      <c r="T12" s="0">
        <v>12</v>
      </c>
      <c r="U12" s="0">
        <v>43</v>
      </c>
      <c r="V12" s="0">
        <v>1885</v>
      </c>
      <c r="W12" s="1">
        <f>=HYPERLINK("10.175.1.14\MWEB.12\SEP\EntityDetails.10.175.1.14.MWEB.12.-.POST.1885.xlsx", "&lt;Detail&gt;")</f>
      </c>
      <c r="X12" s="1">
        <f>=HYPERLINK("10.175.1.14\MWEB.12\SEP\MetricGraphs.SEP.10.175.1.14.MWEB.12.xlsx", "&lt;Metrics&gt;")</f>
      </c>
      <c r="Y12" s="0" t="s">
        <v>107</v>
      </c>
      <c r="Z12" s="0" t="s">
        <v>108</v>
      </c>
      <c r="AA12" s="0" t="s">
        <v>144</v>
      </c>
      <c r="AB12" s="0" t="s">
        <v>599</v>
      </c>
      <c r="AC12" s="0" t="s">
        <v>109</v>
      </c>
    </row>
    <row r="13">
      <c r="A13" s="0" t="s">
        <v>28</v>
      </c>
      <c r="B13" s="0" t="s">
        <v>30</v>
      </c>
      <c r="C13" s="0" t="s">
        <v>147</v>
      </c>
      <c r="D13" s="0" t="s">
        <v>225</v>
      </c>
      <c r="E13" s="0" t="s">
        <v>226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 t="b">
        <v>0</v>
      </c>
      <c r="O13" s="2">
        <v>44613.583333333336</v>
      </c>
      <c r="P13" s="2">
        <v>44613.625</v>
      </c>
      <c r="Q13" s="2">
        <v>44613.208333333336</v>
      </c>
      <c r="R13" s="2">
        <v>44613.25</v>
      </c>
      <c r="S13" s="0">
        <v>60</v>
      </c>
      <c r="T13" s="0">
        <v>12</v>
      </c>
      <c r="U13" s="0">
        <v>49</v>
      </c>
      <c r="V13" s="0">
        <v>2058</v>
      </c>
      <c r="W13" s="1">
        <f>=HYPERLINK("10.175.1.14\MWEB.12\SEP\EntityDetails.10.175.1.14.MWEB.12.-.POST.2058.xlsx", "&lt;Detail&gt;")</f>
      </c>
      <c r="X13" s="1">
        <f>=HYPERLINK("10.175.1.14\MWEB.12\SEP\MetricGraphs.SEP.10.175.1.14.MWEB.12.xlsx", "&lt;Metrics&gt;")</f>
      </c>
      <c r="Y13" s="0" t="s">
        <v>107</v>
      </c>
      <c r="Z13" s="0" t="s">
        <v>108</v>
      </c>
      <c r="AA13" s="0" t="s">
        <v>148</v>
      </c>
      <c r="AB13" s="0" t="s">
        <v>600</v>
      </c>
      <c r="AC13" s="0" t="s">
        <v>109</v>
      </c>
    </row>
    <row r="14">
      <c r="A14" s="0" t="s">
        <v>28</v>
      </c>
      <c r="B14" s="0" t="s">
        <v>30</v>
      </c>
      <c r="C14" s="0" t="s">
        <v>149</v>
      </c>
      <c r="D14" s="0" t="s">
        <v>225</v>
      </c>
      <c r="E14" s="0" t="s">
        <v>226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 t="b">
        <v>0</v>
      </c>
      <c r="O14" s="2">
        <v>44613.583333333336</v>
      </c>
      <c r="P14" s="2">
        <v>44613.625</v>
      </c>
      <c r="Q14" s="2">
        <v>44613.208333333336</v>
      </c>
      <c r="R14" s="2">
        <v>44613.25</v>
      </c>
      <c r="S14" s="0">
        <v>60</v>
      </c>
      <c r="T14" s="0">
        <v>12</v>
      </c>
      <c r="U14" s="0">
        <v>50</v>
      </c>
      <c r="V14" s="0">
        <v>2526</v>
      </c>
      <c r="W14" s="1">
        <f>=HYPERLINK("10.175.1.14\MWEB.12\SEP\EntityDetails.10.175.1.14.MWEB.12.-.POST.2526.xlsx", "&lt;Detail&gt;")</f>
      </c>
      <c r="X14" s="1">
        <f>=HYPERLINK("10.175.1.14\MWEB.12\SEP\MetricGraphs.SEP.10.175.1.14.MWEB.12.xlsx", "&lt;Metrics&gt;")</f>
      </c>
      <c r="Y14" s="0" t="s">
        <v>107</v>
      </c>
      <c r="Z14" s="0" t="s">
        <v>108</v>
      </c>
      <c r="AA14" s="0" t="s">
        <v>150</v>
      </c>
      <c r="AB14" s="0" t="s">
        <v>601</v>
      </c>
      <c r="AC14" s="0" t="s">
        <v>109</v>
      </c>
    </row>
    <row r="15">
      <c r="A15" s="0" t="s">
        <v>28</v>
      </c>
      <c r="B15" s="0" t="s">
        <v>30</v>
      </c>
      <c r="C15" s="0" t="s">
        <v>157</v>
      </c>
      <c r="D15" s="0" t="s">
        <v>225</v>
      </c>
      <c r="E15" s="0" t="s">
        <v>226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 t="b">
        <v>0</v>
      </c>
      <c r="O15" s="2">
        <v>44613.583333333336</v>
      </c>
      <c r="P15" s="2">
        <v>44613.625</v>
      </c>
      <c r="Q15" s="2">
        <v>44613.208333333336</v>
      </c>
      <c r="R15" s="2">
        <v>44613.25</v>
      </c>
      <c r="S15" s="0">
        <v>60</v>
      </c>
      <c r="T15" s="0">
        <v>12</v>
      </c>
      <c r="U15" s="0">
        <v>53</v>
      </c>
      <c r="V15" s="0">
        <v>2242</v>
      </c>
      <c r="W15" s="1">
        <f>=HYPERLINK("10.175.1.14\MWEB.12\SEP\EntityDetails.10.175.1.14.MWEB.12.-.POST.2242.xlsx", "&lt;Detail&gt;")</f>
      </c>
      <c r="X15" s="1">
        <f>=HYPERLINK("10.175.1.14\MWEB.12\SEP\MetricGraphs.SEP.10.175.1.14.MWEB.12.xlsx", "&lt;Metrics&gt;")</f>
      </c>
      <c r="Y15" s="0" t="s">
        <v>107</v>
      </c>
      <c r="Z15" s="0" t="s">
        <v>108</v>
      </c>
      <c r="AA15" s="0" t="s">
        <v>158</v>
      </c>
      <c r="AB15" s="0" t="s">
        <v>602</v>
      </c>
      <c r="AC15" s="0" t="s">
        <v>109</v>
      </c>
    </row>
    <row r="16">
      <c r="A16" s="0" t="s">
        <v>28</v>
      </c>
      <c r="B16" s="0" t="s">
        <v>30</v>
      </c>
      <c r="C16" s="0" t="s">
        <v>163</v>
      </c>
      <c r="D16" s="0" t="s">
        <v>225</v>
      </c>
      <c r="E16" s="0" t="s">
        <v>226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 t="b">
        <v>0</v>
      </c>
      <c r="O16" s="2">
        <v>44613.583333333336</v>
      </c>
      <c r="P16" s="2">
        <v>44613.625</v>
      </c>
      <c r="Q16" s="2">
        <v>44613.208333333336</v>
      </c>
      <c r="R16" s="2">
        <v>44613.25</v>
      </c>
      <c r="S16" s="0">
        <v>60</v>
      </c>
      <c r="T16" s="0">
        <v>12</v>
      </c>
      <c r="U16" s="0">
        <v>55</v>
      </c>
      <c r="V16" s="0">
        <v>3177</v>
      </c>
      <c r="W16" s="1">
        <f>=HYPERLINK("10.175.1.14\MWEB.12\SEP\EntityDetails.10.175.1.14.MWEB.12.-.POST.3177.xlsx", "&lt;Detail&gt;")</f>
      </c>
      <c r="X16" s="1">
        <f>=HYPERLINK("10.175.1.14\MWEB.12\SEP\MetricGraphs.SEP.10.175.1.14.MWEB.12.xlsx", "&lt;Metrics&gt;")</f>
      </c>
      <c r="Y16" s="0" t="s">
        <v>107</v>
      </c>
      <c r="Z16" s="0" t="s">
        <v>108</v>
      </c>
      <c r="AA16" s="0" t="s">
        <v>164</v>
      </c>
      <c r="AB16" s="0" t="s">
        <v>603</v>
      </c>
      <c r="AC16" s="0" t="s">
        <v>109</v>
      </c>
    </row>
    <row r="17">
      <c r="A17" s="0" t="s">
        <v>28</v>
      </c>
      <c r="B17" s="0" t="s">
        <v>30</v>
      </c>
      <c r="C17" s="0" t="s">
        <v>133</v>
      </c>
      <c r="D17" s="0" t="s">
        <v>604</v>
      </c>
      <c r="E17" s="0" t="s">
        <v>229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 t="b">
        <v>0</v>
      </c>
      <c r="O17" s="2">
        <v>44613.583333333336</v>
      </c>
      <c r="P17" s="2">
        <v>44613.625</v>
      </c>
      <c r="Q17" s="2">
        <v>44613.208333333336</v>
      </c>
      <c r="R17" s="2">
        <v>44613.25</v>
      </c>
      <c r="S17" s="0">
        <v>60</v>
      </c>
      <c r="T17" s="0">
        <v>12</v>
      </c>
      <c r="U17" s="0">
        <v>36</v>
      </c>
      <c r="V17" s="0">
        <v>1245</v>
      </c>
      <c r="W17" s="1">
        <f>=HYPERLINK("10.175.1.14\MWEB.12\SEP\EntityDetails.10.175.1.14.MWEB.12.-1mnvanfx.js.1245.xlsx", "&lt;Detail&gt;")</f>
      </c>
      <c r="X17" s="1">
        <f>=HYPERLINK("10.175.1.14\MWEB.12\SEP\MetricGraphs.SEP.10.175.1.14.MWEB.12.xlsx", "&lt;Metrics&gt;")</f>
      </c>
      <c r="Y17" s="0" t="s">
        <v>107</v>
      </c>
      <c r="Z17" s="0" t="s">
        <v>108</v>
      </c>
      <c r="AA17" s="0" t="s">
        <v>134</v>
      </c>
      <c r="AB17" s="0" t="s">
        <v>605</v>
      </c>
      <c r="AC17" s="0" t="s">
        <v>109</v>
      </c>
    </row>
    <row r="18">
      <c r="A18" s="0" t="s">
        <v>28</v>
      </c>
      <c r="B18" s="0" t="s">
        <v>30</v>
      </c>
      <c r="C18" s="0" t="s">
        <v>125</v>
      </c>
      <c r="D18" s="0" t="s">
        <v>228</v>
      </c>
      <c r="E18" s="0" t="s">
        <v>229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 t="b">
        <v>0</v>
      </c>
      <c r="O18" s="2">
        <v>44613.583333333336</v>
      </c>
      <c r="P18" s="2">
        <v>44613.625</v>
      </c>
      <c r="Q18" s="2">
        <v>44613.208333333336</v>
      </c>
      <c r="R18" s="2">
        <v>44613.25</v>
      </c>
      <c r="S18" s="0">
        <v>60</v>
      </c>
      <c r="T18" s="0">
        <v>12</v>
      </c>
      <c r="U18" s="0">
        <v>42</v>
      </c>
      <c r="V18" s="0">
        <v>1176</v>
      </c>
      <c r="W18" s="1">
        <f>=HYPERLINK("10.175.1.14\MWEB.12\SEP\EntityDetails.10.175.1.14.MWEB.12.-admin-login.1176.xlsx", "&lt;Detail&gt;")</f>
      </c>
      <c r="X18" s="1">
        <f>=HYPERLINK("10.175.1.14\MWEB.12\SEP\MetricGraphs.SEP.10.175.1.14.MWEB.12.xlsx", "&lt;Metrics&gt;")</f>
      </c>
      <c r="Y18" s="0" t="s">
        <v>107</v>
      </c>
      <c r="Z18" s="0" t="s">
        <v>108</v>
      </c>
      <c r="AA18" s="0" t="s">
        <v>126</v>
      </c>
      <c r="AB18" s="0" t="s">
        <v>606</v>
      </c>
      <c r="AC18" s="0" t="s">
        <v>109</v>
      </c>
    </row>
    <row r="19">
      <c r="A19" s="0" t="s">
        <v>28</v>
      </c>
      <c r="B19" s="0" t="s">
        <v>30</v>
      </c>
      <c r="C19" s="0" t="s">
        <v>127</v>
      </c>
      <c r="D19" s="0" t="s">
        <v>228</v>
      </c>
      <c r="E19" s="0" t="s">
        <v>229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 t="b">
        <v>0</v>
      </c>
      <c r="O19" s="2">
        <v>44613.583333333336</v>
      </c>
      <c r="P19" s="2">
        <v>44613.625</v>
      </c>
      <c r="Q19" s="2">
        <v>44613.208333333336</v>
      </c>
      <c r="R19" s="2">
        <v>44613.25</v>
      </c>
      <c r="S19" s="0">
        <v>60</v>
      </c>
      <c r="T19" s="0">
        <v>12</v>
      </c>
      <c r="U19" s="0">
        <v>39</v>
      </c>
      <c r="V19" s="0">
        <v>1196</v>
      </c>
      <c r="W19" s="1">
        <f>=HYPERLINK("10.175.1.14\MWEB.12\SEP\EntityDetails.10.175.1.14.MWEB.12.-admin-login.1196.xlsx", "&lt;Detail&gt;")</f>
      </c>
      <c r="X19" s="1">
        <f>=HYPERLINK("10.175.1.14\MWEB.12\SEP\MetricGraphs.SEP.10.175.1.14.MWEB.12.xlsx", "&lt;Metrics&gt;")</f>
      </c>
      <c r="Y19" s="0" t="s">
        <v>107</v>
      </c>
      <c r="Z19" s="0" t="s">
        <v>108</v>
      </c>
      <c r="AA19" s="0" t="s">
        <v>128</v>
      </c>
      <c r="AB19" s="0" t="s">
        <v>607</v>
      </c>
      <c r="AC19" s="0" t="s">
        <v>109</v>
      </c>
    </row>
    <row r="20">
      <c r="A20" s="0" t="s">
        <v>28</v>
      </c>
      <c r="B20" s="0" t="s">
        <v>30</v>
      </c>
      <c r="C20" s="0" t="s">
        <v>133</v>
      </c>
      <c r="D20" s="0" t="s">
        <v>228</v>
      </c>
      <c r="E20" s="0" t="s">
        <v>229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 t="b">
        <v>0</v>
      </c>
      <c r="O20" s="2">
        <v>44613.583333333336</v>
      </c>
      <c r="P20" s="2">
        <v>44613.625</v>
      </c>
      <c r="Q20" s="2">
        <v>44613.208333333336</v>
      </c>
      <c r="R20" s="2">
        <v>44613.25</v>
      </c>
      <c r="S20" s="0">
        <v>60</v>
      </c>
      <c r="T20" s="0">
        <v>12</v>
      </c>
      <c r="U20" s="0">
        <v>36</v>
      </c>
      <c r="V20" s="0">
        <v>1223</v>
      </c>
      <c r="W20" s="1">
        <f>=HYPERLINK("10.175.1.14\MWEB.12\SEP\EntityDetails.10.175.1.14.MWEB.12.-admin-login.1223.xlsx", "&lt;Detail&gt;")</f>
      </c>
      <c r="X20" s="1">
        <f>=HYPERLINK("10.175.1.14\MWEB.12\SEP\MetricGraphs.SEP.10.175.1.14.MWEB.12.xlsx", "&lt;Metrics&gt;")</f>
      </c>
      <c r="Y20" s="0" t="s">
        <v>107</v>
      </c>
      <c r="Z20" s="0" t="s">
        <v>108</v>
      </c>
      <c r="AA20" s="0" t="s">
        <v>134</v>
      </c>
      <c r="AB20" s="0" t="s">
        <v>608</v>
      </c>
      <c r="AC20" s="0" t="s">
        <v>109</v>
      </c>
    </row>
    <row r="21">
      <c r="A21" s="0" t="s">
        <v>28</v>
      </c>
      <c r="B21" s="0" t="s">
        <v>30</v>
      </c>
      <c r="C21" s="0" t="s">
        <v>125</v>
      </c>
      <c r="D21" s="0" t="s">
        <v>231</v>
      </c>
      <c r="E21" s="0" t="s">
        <v>229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 t="b">
        <v>0</v>
      </c>
      <c r="O21" s="2">
        <v>44613.583333333336</v>
      </c>
      <c r="P21" s="2">
        <v>44613.625</v>
      </c>
      <c r="Q21" s="2">
        <v>44613.208333333336</v>
      </c>
      <c r="R21" s="2">
        <v>44613.25</v>
      </c>
      <c r="S21" s="0">
        <v>60</v>
      </c>
      <c r="T21" s="0">
        <v>12</v>
      </c>
      <c r="U21" s="0">
        <v>42</v>
      </c>
      <c r="V21" s="0">
        <v>200</v>
      </c>
      <c r="W21" s="1">
        <f>=HYPERLINK("10.175.1.14\MWEB.12\SEP\EntityDetails.10.175.1.14.MWEB.12.-api-login.200.xlsx", "&lt;Detail&gt;")</f>
      </c>
      <c r="X21" s="1">
        <f>=HYPERLINK("10.175.1.14\MWEB.12\SEP\MetricGraphs.SEP.10.175.1.14.MWEB.12.xlsx", "&lt;Metrics&gt;")</f>
      </c>
      <c r="Y21" s="0" t="s">
        <v>107</v>
      </c>
      <c r="Z21" s="0" t="s">
        <v>108</v>
      </c>
      <c r="AA21" s="0" t="s">
        <v>126</v>
      </c>
      <c r="AB21" s="0" t="s">
        <v>609</v>
      </c>
      <c r="AC21" s="0" t="s">
        <v>109</v>
      </c>
    </row>
    <row r="22">
      <c r="A22" s="0" t="s">
        <v>28</v>
      </c>
      <c r="B22" s="0" t="s">
        <v>30</v>
      </c>
      <c r="C22" s="0" t="s">
        <v>125</v>
      </c>
      <c r="D22" s="0" t="s">
        <v>610</v>
      </c>
      <c r="E22" s="0" t="s">
        <v>229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 t="b">
        <v>0</v>
      </c>
      <c r="O22" s="2">
        <v>44613.583333333336</v>
      </c>
      <c r="P22" s="2">
        <v>44613.625</v>
      </c>
      <c r="Q22" s="2">
        <v>44613.208333333336</v>
      </c>
      <c r="R22" s="2">
        <v>44613.25</v>
      </c>
      <c r="S22" s="0">
        <v>60</v>
      </c>
      <c r="T22" s="0">
        <v>12</v>
      </c>
      <c r="U22" s="0">
        <v>42</v>
      </c>
      <c r="V22" s="0">
        <v>679</v>
      </c>
      <c r="W22" s="1">
        <f>=HYPERLINK("10.175.1.14\MWEB.12\SEP\EntityDetails.10.175.1.14.MWEB.12.-api-mailadd.679.xlsx", "&lt;Detail&gt;")</f>
      </c>
      <c r="X22" s="1">
        <f>=HYPERLINK("10.175.1.14\MWEB.12\SEP\MetricGraphs.SEP.10.175.1.14.MWEB.12.xlsx", "&lt;Metrics&gt;")</f>
      </c>
      <c r="Y22" s="0" t="s">
        <v>107</v>
      </c>
      <c r="Z22" s="0" t="s">
        <v>108</v>
      </c>
      <c r="AA22" s="0" t="s">
        <v>126</v>
      </c>
      <c r="AB22" s="0" t="s">
        <v>611</v>
      </c>
      <c r="AC22" s="0" t="s">
        <v>109</v>
      </c>
    </row>
    <row r="23">
      <c r="A23" s="0" t="s">
        <v>28</v>
      </c>
      <c r="B23" s="0" t="s">
        <v>30</v>
      </c>
      <c r="C23" s="0" t="s">
        <v>125</v>
      </c>
      <c r="D23" s="0" t="s">
        <v>612</v>
      </c>
      <c r="E23" s="0" t="s">
        <v>229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 t="b">
        <v>0</v>
      </c>
      <c r="O23" s="2">
        <v>44613.583333333336</v>
      </c>
      <c r="P23" s="2">
        <v>44613.625</v>
      </c>
      <c r="Q23" s="2">
        <v>44613.208333333336</v>
      </c>
      <c r="R23" s="2">
        <v>44613.25</v>
      </c>
      <c r="S23" s="0">
        <v>60</v>
      </c>
      <c r="T23" s="0">
        <v>12</v>
      </c>
      <c r="U23" s="0">
        <v>42</v>
      </c>
      <c r="V23" s="0">
        <v>680</v>
      </c>
      <c r="W23" s="1">
        <f>=HYPERLINK("10.175.1.14\MWEB.12\SEP\EntityDetails.10.175.1.14.MWEB.12.-api-mailmag.680.xlsx", "&lt;Detail&gt;")</f>
      </c>
      <c r="X23" s="1">
        <f>=HYPERLINK("10.175.1.14\MWEB.12\SEP\MetricGraphs.SEP.10.175.1.14.MWEB.12.xlsx", "&lt;Metrics&gt;")</f>
      </c>
      <c r="Y23" s="0" t="s">
        <v>107</v>
      </c>
      <c r="Z23" s="0" t="s">
        <v>108</v>
      </c>
      <c r="AA23" s="0" t="s">
        <v>126</v>
      </c>
      <c r="AB23" s="0" t="s">
        <v>613</v>
      </c>
      <c r="AC23" s="0" t="s">
        <v>109</v>
      </c>
    </row>
    <row r="24">
      <c r="A24" s="0" t="s">
        <v>28</v>
      </c>
      <c r="B24" s="0" t="s">
        <v>30</v>
      </c>
      <c r="C24" s="0" t="s">
        <v>125</v>
      </c>
      <c r="D24" s="0" t="s">
        <v>614</v>
      </c>
      <c r="E24" s="0" t="s">
        <v>229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 t="b">
        <v>0</v>
      </c>
      <c r="O24" s="2">
        <v>44613.583333333336</v>
      </c>
      <c r="P24" s="2">
        <v>44613.625</v>
      </c>
      <c r="Q24" s="2">
        <v>44613.208333333336</v>
      </c>
      <c r="R24" s="2">
        <v>44613.25</v>
      </c>
      <c r="S24" s="0">
        <v>60</v>
      </c>
      <c r="T24" s="0">
        <v>12</v>
      </c>
      <c r="U24" s="0">
        <v>42</v>
      </c>
      <c r="V24" s="0">
        <v>902</v>
      </c>
      <c r="W24" s="1">
        <f>=HYPERLINK("10.175.1.14\MWEB.12\SEP\EntityDetails.10.175.1.14.MWEB.12.-api-mbwtmet.902.xlsx", "&lt;Detail&gt;")</f>
      </c>
      <c r="X24" s="1">
        <f>=HYPERLINK("10.175.1.14\MWEB.12\SEP\MetricGraphs.SEP.10.175.1.14.MWEB.12.xlsx", "&lt;Metrics&gt;")</f>
      </c>
      <c r="Y24" s="0" t="s">
        <v>107</v>
      </c>
      <c r="Z24" s="0" t="s">
        <v>108</v>
      </c>
      <c r="AA24" s="0" t="s">
        <v>126</v>
      </c>
      <c r="AB24" s="0" t="s">
        <v>615</v>
      </c>
      <c r="AC24" s="0" t="s">
        <v>109</v>
      </c>
    </row>
    <row r="25">
      <c r="A25" s="0" t="s">
        <v>28</v>
      </c>
      <c r="B25" s="0" t="s">
        <v>30</v>
      </c>
      <c r="C25" s="0" t="s">
        <v>125</v>
      </c>
      <c r="D25" s="0" t="s">
        <v>616</v>
      </c>
      <c r="E25" s="0" t="s">
        <v>229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 t="b">
        <v>0</v>
      </c>
      <c r="O25" s="2">
        <v>44613.583333333336</v>
      </c>
      <c r="P25" s="2">
        <v>44613.625</v>
      </c>
      <c r="Q25" s="2">
        <v>44613.208333333336</v>
      </c>
      <c r="R25" s="2">
        <v>44613.25</v>
      </c>
      <c r="S25" s="0">
        <v>60</v>
      </c>
      <c r="T25" s="0">
        <v>12</v>
      </c>
      <c r="U25" s="0">
        <v>42</v>
      </c>
      <c r="V25" s="0">
        <v>670</v>
      </c>
      <c r="W25" s="1">
        <f>=HYPERLINK("10.175.1.14\MWEB.12\SEP\EntityDetails.10.175.1.14.MWEB.12.-api-onetime.670.xlsx", "&lt;Detail&gt;")</f>
      </c>
      <c r="X25" s="1">
        <f>=HYPERLINK("10.175.1.14\MWEB.12\SEP\MetricGraphs.SEP.10.175.1.14.MWEB.12.xlsx", "&lt;Metrics&gt;")</f>
      </c>
      <c r="Y25" s="0" t="s">
        <v>107</v>
      </c>
      <c r="Z25" s="0" t="s">
        <v>108</v>
      </c>
      <c r="AA25" s="0" t="s">
        <v>126</v>
      </c>
      <c r="AB25" s="0" t="s">
        <v>617</v>
      </c>
      <c r="AC25" s="0" t="s">
        <v>109</v>
      </c>
    </row>
    <row r="26">
      <c r="A26" s="0" t="s">
        <v>28</v>
      </c>
      <c r="B26" s="0" t="s">
        <v>30</v>
      </c>
      <c r="C26" s="0" t="s">
        <v>133</v>
      </c>
      <c r="D26" s="0" t="s">
        <v>618</v>
      </c>
      <c r="E26" s="0" t="s">
        <v>229</v>
      </c>
      <c r="F26" s="0">
        <v>0</v>
      </c>
      <c r="G26" s="0" t="s">
        <v>106</v>
      </c>
      <c r="H26" s="0">
        <v>0</v>
      </c>
      <c r="I26" s="0">
        <v>0</v>
      </c>
      <c r="J26" s="0">
        <v>0</v>
      </c>
      <c r="K26" s="0">
        <v>0</v>
      </c>
      <c r="L26" s="0">
        <v>0</v>
      </c>
      <c r="M26" s="0">
        <v>0</v>
      </c>
      <c r="N26" s="0" t="b">
        <v>0</v>
      </c>
      <c r="O26" s="2">
        <v>44613.583333333336</v>
      </c>
      <c r="P26" s="2">
        <v>44613.625</v>
      </c>
      <c r="Q26" s="2">
        <v>44613.208333333336</v>
      </c>
      <c r="R26" s="2">
        <v>44613.25</v>
      </c>
      <c r="S26" s="0">
        <v>60</v>
      </c>
      <c r="T26" s="0">
        <v>12</v>
      </c>
      <c r="U26" s="0">
        <v>36</v>
      </c>
      <c r="V26" s="0">
        <v>1247</v>
      </c>
      <c r="W26" s="1">
        <f>=HYPERLINK("10.175.1.14\MWEB.12\SEP\EntityDetails.10.175.1.14.MWEB.12.-axis2-axis2.1247.xlsx", "&lt;Detail&gt;")</f>
      </c>
      <c r="X26" s="1">
        <f>=HYPERLINK("10.175.1.14\MWEB.12\SEP\MetricGraphs.SEP.10.175.1.14.MWEB.12.xlsx", "&lt;Metrics&gt;")</f>
      </c>
      <c r="Y26" s="0" t="s">
        <v>107</v>
      </c>
      <c r="Z26" s="0" t="s">
        <v>108</v>
      </c>
      <c r="AA26" s="0" t="s">
        <v>134</v>
      </c>
      <c r="AB26" s="0" t="s">
        <v>619</v>
      </c>
      <c r="AC26" s="0" t="s">
        <v>109</v>
      </c>
    </row>
    <row r="27">
      <c r="A27" s="0" t="s">
        <v>28</v>
      </c>
      <c r="B27" s="0" t="s">
        <v>30</v>
      </c>
      <c r="C27" s="0" t="s">
        <v>143</v>
      </c>
      <c r="D27" s="0" t="s">
        <v>235</v>
      </c>
      <c r="E27" s="0" t="s">
        <v>229</v>
      </c>
      <c r="F27" s="0">
        <v>0</v>
      </c>
      <c r="G27" s="0" t="s">
        <v>106</v>
      </c>
      <c r="H27" s="0">
        <v>0</v>
      </c>
      <c r="I27" s="0">
        <v>0</v>
      </c>
      <c r="J27" s="0">
        <v>0</v>
      </c>
      <c r="K27" s="0">
        <v>0</v>
      </c>
      <c r="L27" s="0">
        <v>0</v>
      </c>
      <c r="M27" s="0">
        <v>0</v>
      </c>
      <c r="N27" s="0" t="b">
        <v>0</v>
      </c>
      <c r="O27" s="2">
        <v>44613.583333333336</v>
      </c>
      <c r="P27" s="2">
        <v>44613.625</v>
      </c>
      <c r="Q27" s="2">
        <v>44613.208333333336</v>
      </c>
      <c r="R27" s="2">
        <v>44613.25</v>
      </c>
      <c r="S27" s="0">
        <v>60</v>
      </c>
      <c r="T27" s="0">
        <v>12</v>
      </c>
      <c r="U27" s="0">
        <v>43</v>
      </c>
      <c r="V27" s="0">
        <v>903</v>
      </c>
      <c r="W27" s="1">
        <f>=HYPERLINK("10.175.1.14\MWEB.12\SEP\EntityDetails.10.175.1.14.MWEB.12.-bea_wls_int.903.xlsx", "&lt;Detail&gt;")</f>
      </c>
      <c r="X27" s="1">
        <f>=HYPERLINK("10.175.1.14\MWEB.12\SEP\MetricGraphs.SEP.10.175.1.14.MWEB.12.xlsx", "&lt;Metrics&gt;")</f>
      </c>
      <c r="Y27" s="0" t="s">
        <v>107</v>
      </c>
      <c r="Z27" s="0" t="s">
        <v>108</v>
      </c>
      <c r="AA27" s="0" t="s">
        <v>144</v>
      </c>
      <c r="AB27" s="0" t="s">
        <v>620</v>
      </c>
      <c r="AC27" s="0" t="s">
        <v>109</v>
      </c>
    </row>
    <row r="28">
      <c r="A28" s="0" t="s">
        <v>28</v>
      </c>
      <c r="B28" s="0" t="s">
        <v>30</v>
      </c>
      <c r="C28" s="0" t="s">
        <v>163</v>
      </c>
      <c r="D28" s="0" t="s">
        <v>235</v>
      </c>
      <c r="E28" s="0" t="s">
        <v>229</v>
      </c>
      <c r="F28" s="0">
        <v>0</v>
      </c>
      <c r="G28" s="0" t="s">
        <v>106</v>
      </c>
      <c r="H28" s="0">
        <v>0</v>
      </c>
      <c r="I28" s="0">
        <v>0</v>
      </c>
      <c r="J28" s="0">
        <v>0</v>
      </c>
      <c r="K28" s="0">
        <v>0</v>
      </c>
      <c r="L28" s="0">
        <v>0</v>
      </c>
      <c r="M28" s="0">
        <v>0</v>
      </c>
      <c r="N28" s="0" t="b">
        <v>0</v>
      </c>
      <c r="O28" s="2">
        <v>44613.583333333336</v>
      </c>
      <c r="P28" s="2">
        <v>44613.625</v>
      </c>
      <c r="Q28" s="2">
        <v>44613.208333333336</v>
      </c>
      <c r="R28" s="2">
        <v>44613.25</v>
      </c>
      <c r="S28" s="0">
        <v>60</v>
      </c>
      <c r="T28" s="0">
        <v>12</v>
      </c>
      <c r="U28" s="0">
        <v>55</v>
      </c>
      <c r="V28" s="0">
        <v>2281</v>
      </c>
      <c r="W28" s="1">
        <f>=HYPERLINK("10.175.1.14\MWEB.12\SEP\EntityDetails.10.175.1.14.MWEB.12.-bea_wls_int.2281.xlsx", "&lt;Detail&gt;")</f>
      </c>
      <c r="X28" s="1">
        <f>=HYPERLINK("10.175.1.14\MWEB.12\SEP\MetricGraphs.SEP.10.175.1.14.MWEB.12.xlsx", "&lt;Metrics&gt;")</f>
      </c>
      <c r="Y28" s="0" t="s">
        <v>107</v>
      </c>
      <c r="Z28" s="0" t="s">
        <v>108</v>
      </c>
      <c r="AA28" s="0" t="s">
        <v>164</v>
      </c>
      <c r="AB28" s="0" t="s">
        <v>621</v>
      </c>
      <c r="AC28" s="0" t="s">
        <v>109</v>
      </c>
    </row>
    <row r="29">
      <c r="A29" s="0" t="s">
        <v>28</v>
      </c>
      <c r="B29" s="0" t="s">
        <v>30</v>
      </c>
      <c r="C29" s="0" t="s">
        <v>133</v>
      </c>
      <c r="D29" s="0" t="s">
        <v>622</v>
      </c>
      <c r="E29" s="0" t="s">
        <v>229</v>
      </c>
      <c r="F29" s="0">
        <v>0</v>
      </c>
      <c r="G29" s="0" t="s">
        <v>106</v>
      </c>
      <c r="H29" s="0">
        <v>0</v>
      </c>
      <c r="I29" s="0">
        <v>0</v>
      </c>
      <c r="J29" s="0">
        <v>0</v>
      </c>
      <c r="K29" s="0">
        <v>0</v>
      </c>
      <c r="L29" s="0">
        <v>0</v>
      </c>
      <c r="M29" s="0">
        <v>0</v>
      </c>
      <c r="N29" s="0" t="b">
        <v>0</v>
      </c>
      <c r="O29" s="2">
        <v>44613.583333333336</v>
      </c>
      <c r="P29" s="2">
        <v>44613.625</v>
      </c>
      <c r="Q29" s="2">
        <v>44613.208333333336</v>
      </c>
      <c r="R29" s="2">
        <v>44613.25</v>
      </c>
      <c r="S29" s="0">
        <v>60</v>
      </c>
      <c r="T29" s="0">
        <v>12</v>
      </c>
      <c r="U29" s="0">
        <v>36</v>
      </c>
      <c r="V29" s="0">
        <v>1241</v>
      </c>
      <c r="W29" s="1">
        <f>=HYPERLINK("10.175.1.14\MWEB.12\SEP\EntityDetails.10.175.1.14.MWEB.12.-cgi-bin-1mn.1241.xlsx", "&lt;Detail&gt;")</f>
      </c>
      <c r="X29" s="1">
        <f>=HYPERLINK("10.175.1.14\MWEB.12\SEP\MetricGraphs.SEP.10.175.1.14.MWEB.12.xlsx", "&lt;Metrics&gt;")</f>
      </c>
      <c r="Y29" s="0" t="s">
        <v>107</v>
      </c>
      <c r="Z29" s="0" t="s">
        <v>108</v>
      </c>
      <c r="AA29" s="0" t="s">
        <v>134</v>
      </c>
      <c r="AB29" s="0" t="s">
        <v>623</v>
      </c>
      <c r="AC29" s="0" t="s">
        <v>109</v>
      </c>
    </row>
    <row r="30">
      <c r="A30" s="0" t="s">
        <v>28</v>
      </c>
      <c r="B30" s="0" t="s">
        <v>30</v>
      </c>
      <c r="C30" s="0" t="s">
        <v>133</v>
      </c>
      <c r="D30" s="0" t="s">
        <v>624</v>
      </c>
      <c r="E30" s="0" t="s">
        <v>229</v>
      </c>
      <c r="F30" s="0">
        <v>0</v>
      </c>
      <c r="G30" s="0" t="s">
        <v>106</v>
      </c>
      <c r="H30" s="0">
        <v>0</v>
      </c>
      <c r="I30" s="0">
        <v>0</v>
      </c>
      <c r="J30" s="0">
        <v>0</v>
      </c>
      <c r="K30" s="0">
        <v>0</v>
      </c>
      <c r="L30" s="0">
        <v>0</v>
      </c>
      <c r="M30" s="0">
        <v>0</v>
      </c>
      <c r="N30" s="0" t="b">
        <v>0</v>
      </c>
      <c r="O30" s="2">
        <v>44613.583333333336</v>
      </c>
      <c r="P30" s="2">
        <v>44613.625</v>
      </c>
      <c r="Q30" s="2">
        <v>44613.208333333336</v>
      </c>
      <c r="R30" s="2">
        <v>44613.25</v>
      </c>
      <c r="S30" s="0">
        <v>60</v>
      </c>
      <c r="T30" s="0">
        <v>12</v>
      </c>
      <c r="U30" s="0">
        <v>36</v>
      </c>
      <c r="V30" s="0">
        <v>1235</v>
      </c>
      <c r="W30" s="1">
        <f>=HYPERLINK("10.175.1.14\MWEB.12\SEP\EntityDetails.10.175.1.14.MWEB.12.-cgi-bin-zen.1235.xlsx", "&lt;Detail&gt;")</f>
      </c>
      <c r="X30" s="1">
        <f>=HYPERLINK("10.175.1.14\MWEB.12\SEP\MetricGraphs.SEP.10.175.1.14.MWEB.12.xlsx", "&lt;Metrics&gt;")</f>
      </c>
      <c r="Y30" s="0" t="s">
        <v>107</v>
      </c>
      <c r="Z30" s="0" t="s">
        <v>108</v>
      </c>
      <c r="AA30" s="0" t="s">
        <v>134</v>
      </c>
      <c r="AB30" s="0" t="s">
        <v>625</v>
      </c>
      <c r="AC30" s="0" t="s">
        <v>109</v>
      </c>
    </row>
    <row r="31">
      <c r="A31" s="0" t="s">
        <v>28</v>
      </c>
      <c r="B31" s="0" t="s">
        <v>30</v>
      </c>
      <c r="C31" s="0" t="s">
        <v>133</v>
      </c>
      <c r="D31" s="0" t="s">
        <v>626</v>
      </c>
      <c r="E31" s="0" t="s">
        <v>229</v>
      </c>
      <c r="F31" s="0">
        <v>0</v>
      </c>
      <c r="G31" s="0" t="s">
        <v>106</v>
      </c>
      <c r="H31" s="0">
        <v>0</v>
      </c>
      <c r="I31" s="0">
        <v>0</v>
      </c>
      <c r="J31" s="0">
        <v>0</v>
      </c>
      <c r="K31" s="0">
        <v>0</v>
      </c>
      <c r="L31" s="0">
        <v>0</v>
      </c>
      <c r="M31" s="0">
        <v>0</v>
      </c>
      <c r="N31" s="0" t="b">
        <v>0</v>
      </c>
      <c r="O31" s="2">
        <v>44613.583333333336</v>
      </c>
      <c r="P31" s="2">
        <v>44613.625</v>
      </c>
      <c r="Q31" s="2">
        <v>44613.208333333336</v>
      </c>
      <c r="R31" s="2">
        <v>44613.25</v>
      </c>
      <c r="S31" s="0">
        <v>60</v>
      </c>
      <c r="T31" s="0">
        <v>12</v>
      </c>
      <c r="U31" s="0">
        <v>36</v>
      </c>
      <c r="V31" s="0">
        <v>1240</v>
      </c>
      <c r="W31" s="1">
        <f>=HYPERLINK("10.175.1.14\MWEB.12\SEP\EntityDetails.10.175.1.14.MWEB.12.-clearspace-.1240.xlsx", "&lt;Detail&gt;")</f>
      </c>
      <c r="X31" s="1">
        <f>=HYPERLINK("10.175.1.14\MWEB.12\SEP\MetricGraphs.SEP.10.175.1.14.MWEB.12.xlsx", "&lt;Metrics&gt;")</f>
      </c>
      <c r="Y31" s="0" t="s">
        <v>107</v>
      </c>
      <c r="Z31" s="0" t="s">
        <v>108</v>
      </c>
      <c r="AA31" s="0" t="s">
        <v>134</v>
      </c>
      <c r="AB31" s="0" t="s">
        <v>627</v>
      </c>
      <c r="AC31" s="0" t="s">
        <v>109</v>
      </c>
    </row>
    <row r="32">
      <c r="A32" s="0" t="s">
        <v>28</v>
      </c>
      <c r="B32" s="0" t="s">
        <v>30</v>
      </c>
      <c r="C32" s="0" t="s">
        <v>133</v>
      </c>
      <c r="D32" s="0" t="s">
        <v>238</v>
      </c>
      <c r="E32" s="0" t="s">
        <v>229</v>
      </c>
      <c r="F32" s="0">
        <v>0</v>
      </c>
      <c r="G32" s="0" t="s">
        <v>106</v>
      </c>
      <c r="H32" s="0">
        <v>0</v>
      </c>
      <c r="I32" s="0">
        <v>0</v>
      </c>
      <c r="J32" s="0">
        <v>0</v>
      </c>
      <c r="K32" s="0">
        <v>0</v>
      </c>
      <c r="L32" s="0">
        <v>0</v>
      </c>
      <c r="M32" s="0">
        <v>0</v>
      </c>
      <c r="N32" s="0" t="b">
        <v>0</v>
      </c>
      <c r="O32" s="2">
        <v>44613.583333333336</v>
      </c>
      <c r="P32" s="2">
        <v>44613.625</v>
      </c>
      <c r="Q32" s="2">
        <v>44613.208333333336</v>
      </c>
      <c r="R32" s="2">
        <v>44613.25</v>
      </c>
      <c r="S32" s="0">
        <v>60</v>
      </c>
      <c r="T32" s="0">
        <v>12</v>
      </c>
      <c r="U32" s="0">
        <v>36</v>
      </c>
      <c r="V32" s="0">
        <v>196</v>
      </c>
      <c r="W32" s="1">
        <f>=HYPERLINK("10.175.1.14\MWEB.12\SEP\EntityDetails.10.175.1.14.MWEB.12.-connect-api.196.xlsx", "&lt;Detail&gt;")</f>
      </c>
      <c r="X32" s="1">
        <f>=HYPERLINK("10.175.1.14\MWEB.12\SEP\MetricGraphs.SEP.10.175.1.14.MWEB.12.xlsx", "&lt;Metrics&gt;")</f>
      </c>
      <c r="Y32" s="0" t="s">
        <v>107</v>
      </c>
      <c r="Z32" s="0" t="s">
        <v>108</v>
      </c>
      <c r="AA32" s="0" t="s">
        <v>134</v>
      </c>
      <c r="AB32" s="0" t="s">
        <v>628</v>
      </c>
      <c r="AC32" s="0" t="s">
        <v>109</v>
      </c>
    </row>
    <row r="33">
      <c r="A33" s="0" t="s">
        <v>28</v>
      </c>
      <c r="B33" s="0" t="s">
        <v>30</v>
      </c>
      <c r="C33" s="0" t="s">
        <v>135</v>
      </c>
      <c r="D33" s="0" t="s">
        <v>238</v>
      </c>
      <c r="E33" s="0" t="s">
        <v>229</v>
      </c>
      <c r="F33" s="0">
        <v>0</v>
      </c>
      <c r="G33" s="0" t="s">
        <v>106</v>
      </c>
      <c r="H33" s="0">
        <v>0</v>
      </c>
      <c r="I33" s="0">
        <v>0</v>
      </c>
      <c r="J33" s="0">
        <v>0</v>
      </c>
      <c r="K33" s="0">
        <v>0</v>
      </c>
      <c r="L33" s="0">
        <v>0</v>
      </c>
      <c r="M33" s="0">
        <v>0</v>
      </c>
      <c r="N33" s="0" t="b">
        <v>0</v>
      </c>
      <c r="O33" s="2">
        <v>44613.583333333336</v>
      </c>
      <c r="P33" s="2">
        <v>44613.625</v>
      </c>
      <c r="Q33" s="2">
        <v>44613.208333333336</v>
      </c>
      <c r="R33" s="2">
        <v>44613.25</v>
      </c>
      <c r="S33" s="0">
        <v>60</v>
      </c>
      <c r="T33" s="0">
        <v>12</v>
      </c>
      <c r="U33" s="0">
        <v>37</v>
      </c>
      <c r="V33" s="0">
        <v>282</v>
      </c>
      <c r="W33" s="1">
        <f>=HYPERLINK("10.175.1.14\MWEB.12\SEP\EntityDetails.10.175.1.14.MWEB.12.-connect-api.282.xlsx", "&lt;Detail&gt;")</f>
      </c>
      <c r="X33" s="1">
        <f>=HYPERLINK("10.175.1.14\MWEB.12\SEP\MetricGraphs.SEP.10.175.1.14.MWEB.12.xlsx", "&lt;Metrics&gt;")</f>
      </c>
      <c r="Y33" s="0" t="s">
        <v>107</v>
      </c>
      <c r="Z33" s="0" t="s">
        <v>108</v>
      </c>
      <c r="AA33" s="0" t="s">
        <v>136</v>
      </c>
      <c r="AB33" s="0" t="s">
        <v>629</v>
      </c>
      <c r="AC33" s="0" t="s">
        <v>109</v>
      </c>
    </row>
    <row r="34">
      <c r="A34" s="0" t="s">
        <v>28</v>
      </c>
      <c r="B34" s="0" t="s">
        <v>30</v>
      </c>
      <c r="C34" s="0" t="s">
        <v>137</v>
      </c>
      <c r="D34" s="0" t="s">
        <v>238</v>
      </c>
      <c r="E34" s="0" t="s">
        <v>229</v>
      </c>
      <c r="F34" s="0">
        <v>0</v>
      </c>
      <c r="G34" s="0" t="s">
        <v>106</v>
      </c>
      <c r="H34" s="0">
        <v>0</v>
      </c>
      <c r="I34" s="0">
        <v>0</v>
      </c>
      <c r="J34" s="0">
        <v>0</v>
      </c>
      <c r="K34" s="0">
        <v>0</v>
      </c>
      <c r="L34" s="0">
        <v>0</v>
      </c>
      <c r="M34" s="0">
        <v>0</v>
      </c>
      <c r="N34" s="0" t="b">
        <v>0</v>
      </c>
      <c r="O34" s="2">
        <v>44613.583333333336</v>
      </c>
      <c r="P34" s="2">
        <v>44613.625</v>
      </c>
      <c r="Q34" s="2">
        <v>44613.208333333336</v>
      </c>
      <c r="R34" s="2">
        <v>44613.25</v>
      </c>
      <c r="S34" s="0">
        <v>60</v>
      </c>
      <c r="T34" s="0">
        <v>12</v>
      </c>
      <c r="U34" s="0">
        <v>38</v>
      </c>
      <c r="V34" s="0">
        <v>284</v>
      </c>
      <c r="W34" s="1">
        <f>=HYPERLINK("10.175.1.14\MWEB.12\SEP\EntityDetails.10.175.1.14.MWEB.12.-connect-api.284.xlsx", "&lt;Detail&gt;")</f>
      </c>
      <c r="X34" s="1">
        <f>=HYPERLINK("10.175.1.14\MWEB.12\SEP\MetricGraphs.SEP.10.175.1.14.MWEB.12.xlsx", "&lt;Metrics&gt;")</f>
      </c>
      <c r="Y34" s="0" t="s">
        <v>107</v>
      </c>
      <c r="Z34" s="0" t="s">
        <v>108</v>
      </c>
      <c r="AA34" s="0" t="s">
        <v>138</v>
      </c>
      <c r="AB34" s="0" t="s">
        <v>630</v>
      </c>
      <c r="AC34" s="0" t="s">
        <v>109</v>
      </c>
    </row>
    <row r="35">
      <c r="A35" s="0" t="s">
        <v>28</v>
      </c>
      <c r="B35" s="0" t="s">
        <v>30</v>
      </c>
      <c r="C35" s="0" t="s">
        <v>125</v>
      </c>
      <c r="D35" s="0" t="s">
        <v>242</v>
      </c>
      <c r="E35" s="0" t="s">
        <v>229</v>
      </c>
      <c r="F35" s="0">
        <v>0</v>
      </c>
      <c r="G35" s="0" t="s">
        <v>106</v>
      </c>
      <c r="H35" s="0">
        <v>0</v>
      </c>
      <c r="I35" s="0">
        <v>0</v>
      </c>
      <c r="J35" s="0">
        <v>0</v>
      </c>
      <c r="K35" s="0">
        <v>0</v>
      </c>
      <c r="L35" s="0">
        <v>0</v>
      </c>
      <c r="M35" s="0">
        <v>0</v>
      </c>
      <c r="N35" s="0" t="b">
        <v>0</v>
      </c>
      <c r="O35" s="2">
        <v>44613.583333333336</v>
      </c>
      <c r="P35" s="2">
        <v>44613.625</v>
      </c>
      <c r="Q35" s="2">
        <v>44613.208333333336</v>
      </c>
      <c r="R35" s="2">
        <v>44613.25</v>
      </c>
      <c r="S35" s="0">
        <v>60</v>
      </c>
      <c r="T35" s="0">
        <v>12</v>
      </c>
      <c r="U35" s="0">
        <v>42</v>
      </c>
      <c r="V35" s="0">
        <v>287</v>
      </c>
      <c r="W35" s="1">
        <f>=HYPERLINK("10.175.1.14\MWEB.12\SEP\EntityDetails.10.175.1.14.MWEB.12.-connect-dum.287.xlsx", "&lt;Detail&gt;")</f>
      </c>
      <c r="X35" s="1">
        <f>=HYPERLINK("10.175.1.14\MWEB.12\SEP\MetricGraphs.SEP.10.175.1.14.MWEB.12.xlsx", "&lt;Metrics&gt;")</f>
      </c>
      <c r="Y35" s="0" t="s">
        <v>107</v>
      </c>
      <c r="Z35" s="0" t="s">
        <v>108</v>
      </c>
      <c r="AA35" s="0" t="s">
        <v>126</v>
      </c>
      <c r="AB35" s="0" t="s">
        <v>631</v>
      </c>
      <c r="AC35" s="0" t="s">
        <v>109</v>
      </c>
    </row>
    <row r="36">
      <c r="A36" s="0" t="s">
        <v>28</v>
      </c>
      <c r="B36" s="0" t="s">
        <v>30</v>
      </c>
      <c r="C36" s="0" t="s">
        <v>129</v>
      </c>
      <c r="D36" s="0" t="s">
        <v>244</v>
      </c>
      <c r="E36" s="0" t="s">
        <v>229</v>
      </c>
      <c r="F36" s="0">
        <v>0</v>
      </c>
      <c r="G36" s="0" t="s">
        <v>106</v>
      </c>
      <c r="H36" s="0">
        <v>0</v>
      </c>
      <c r="I36" s="0">
        <v>0</v>
      </c>
      <c r="J36" s="0">
        <v>0</v>
      </c>
      <c r="K36" s="0">
        <v>0</v>
      </c>
      <c r="L36" s="0">
        <v>0</v>
      </c>
      <c r="M36" s="0">
        <v>0</v>
      </c>
      <c r="N36" s="0" t="b">
        <v>0</v>
      </c>
      <c r="O36" s="2">
        <v>44613.583333333336</v>
      </c>
      <c r="P36" s="2">
        <v>44613.625</v>
      </c>
      <c r="Q36" s="2">
        <v>44613.208333333336</v>
      </c>
      <c r="R36" s="2">
        <v>44613.25</v>
      </c>
      <c r="S36" s="0">
        <v>60</v>
      </c>
      <c r="T36" s="0">
        <v>12</v>
      </c>
      <c r="U36" s="0">
        <v>41</v>
      </c>
      <c r="V36" s="0">
        <v>702</v>
      </c>
      <c r="W36" s="1">
        <f>=HYPERLINK("10.175.1.14\MWEB.12\SEP\EntityDetails.10.175.1.14.MWEB.12.-connect-ind.702.xlsx", "&lt;Detail&gt;")</f>
      </c>
      <c r="X36" s="1">
        <f>=HYPERLINK("10.175.1.14\MWEB.12\SEP\MetricGraphs.SEP.10.175.1.14.MWEB.12.xlsx", "&lt;Metrics&gt;")</f>
      </c>
      <c r="Y36" s="0" t="s">
        <v>107</v>
      </c>
      <c r="Z36" s="0" t="s">
        <v>108</v>
      </c>
      <c r="AA36" s="0" t="s">
        <v>130</v>
      </c>
      <c r="AB36" s="0" t="s">
        <v>632</v>
      </c>
      <c r="AC36" s="0" t="s">
        <v>109</v>
      </c>
    </row>
    <row r="37">
      <c r="A37" s="0" t="s">
        <v>28</v>
      </c>
      <c r="B37" s="0" t="s">
        <v>30</v>
      </c>
      <c r="C37" s="0" t="s">
        <v>151</v>
      </c>
      <c r="D37" s="0" t="s">
        <v>244</v>
      </c>
      <c r="E37" s="0" t="s">
        <v>229</v>
      </c>
      <c r="F37" s="0">
        <v>0</v>
      </c>
      <c r="G37" s="0" t="s">
        <v>106</v>
      </c>
      <c r="H37" s="0">
        <v>0</v>
      </c>
      <c r="I37" s="0">
        <v>0</v>
      </c>
      <c r="J37" s="0">
        <v>0</v>
      </c>
      <c r="K37" s="0">
        <v>0</v>
      </c>
      <c r="L37" s="0">
        <v>0</v>
      </c>
      <c r="M37" s="0">
        <v>0</v>
      </c>
      <c r="N37" s="0" t="b">
        <v>0</v>
      </c>
      <c r="O37" s="2">
        <v>44613.583333333336</v>
      </c>
      <c r="P37" s="2">
        <v>44613.625</v>
      </c>
      <c r="Q37" s="2">
        <v>44613.208333333336</v>
      </c>
      <c r="R37" s="2">
        <v>44613.25</v>
      </c>
      <c r="S37" s="0">
        <v>60</v>
      </c>
      <c r="T37" s="0">
        <v>12</v>
      </c>
      <c r="U37" s="0">
        <v>52</v>
      </c>
      <c r="V37" s="0">
        <v>1959</v>
      </c>
      <c r="W37" s="1">
        <f>=HYPERLINK("10.175.1.14\MWEB.12\SEP\EntityDetails.10.175.1.14.MWEB.12.-connect-ind.1959.xlsx", "&lt;Detail&gt;")</f>
      </c>
      <c r="X37" s="1">
        <f>=HYPERLINK("10.175.1.14\MWEB.12\SEP\MetricGraphs.SEP.10.175.1.14.MWEB.12.xlsx", "&lt;Metrics&gt;")</f>
      </c>
      <c r="Y37" s="0" t="s">
        <v>107</v>
      </c>
      <c r="Z37" s="0" t="s">
        <v>108</v>
      </c>
      <c r="AA37" s="0" t="s">
        <v>152</v>
      </c>
      <c r="AB37" s="0" t="s">
        <v>633</v>
      </c>
      <c r="AC37" s="0" t="s">
        <v>109</v>
      </c>
    </row>
    <row r="38">
      <c r="A38" s="0" t="s">
        <v>28</v>
      </c>
      <c r="B38" s="0" t="s">
        <v>30</v>
      </c>
      <c r="C38" s="0" t="s">
        <v>129</v>
      </c>
      <c r="D38" s="0" t="s">
        <v>247</v>
      </c>
      <c r="E38" s="0" t="s">
        <v>229</v>
      </c>
      <c r="F38" s="0">
        <v>0</v>
      </c>
      <c r="G38" s="0" t="s">
        <v>106</v>
      </c>
      <c r="H38" s="0">
        <v>0</v>
      </c>
      <c r="I38" s="0">
        <v>0</v>
      </c>
      <c r="J38" s="0">
        <v>0</v>
      </c>
      <c r="K38" s="0">
        <v>0</v>
      </c>
      <c r="L38" s="0">
        <v>0</v>
      </c>
      <c r="M38" s="0">
        <v>0</v>
      </c>
      <c r="N38" s="0" t="b">
        <v>0</v>
      </c>
      <c r="O38" s="2">
        <v>44613.583333333336</v>
      </c>
      <c r="P38" s="2">
        <v>44613.625</v>
      </c>
      <c r="Q38" s="2">
        <v>44613.208333333336</v>
      </c>
      <c r="R38" s="2">
        <v>44613.25</v>
      </c>
      <c r="S38" s="0">
        <v>60</v>
      </c>
      <c r="T38" s="0">
        <v>12</v>
      </c>
      <c r="U38" s="0">
        <v>41</v>
      </c>
      <c r="V38" s="0">
        <v>445</v>
      </c>
      <c r="W38" s="1">
        <f>=HYPERLINK("10.175.1.14\MWEB.12\SEP\EntityDetails.10.175.1.14.MWEB.12.-connect-mob.445.xlsx", "&lt;Detail&gt;")</f>
      </c>
      <c r="X38" s="1">
        <f>=HYPERLINK("10.175.1.14\MWEB.12\SEP\MetricGraphs.SEP.10.175.1.14.MWEB.12.xlsx", "&lt;Metrics&gt;")</f>
      </c>
      <c r="Y38" s="0" t="s">
        <v>107</v>
      </c>
      <c r="Z38" s="0" t="s">
        <v>108</v>
      </c>
      <c r="AA38" s="0" t="s">
        <v>130</v>
      </c>
      <c r="AB38" s="0" t="s">
        <v>634</v>
      </c>
      <c r="AC38" s="0" t="s">
        <v>109</v>
      </c>
    </row>
    <row r="39">
      <c r="A39" s="0" t="s">
        <v>28</v>
      </c>
      <c r="B39" s="0" t="s">
        <v>30</v>
      </c>
      <c r="C39" s="0" t="s">
        <v>133</v>
      </c>
      <c r="D39" s="0" t="s">
        <v>247</v>
      </c>
      <c r="E39" s="0" t="s">
        <v>229</v>
      </c>
      <c r="F39" s="0">
        <v>0</v>
      </c>
      <c r="G39" s="0" t="s">
        <v>106</v>
      </c>
      <c r="H39" s="0">
        <v>0</v>
      </c>
      <c r="I39" s="0">
        <v>0</v>
      </c>
      <c r="J39" s="0">
        <v>0</v>
      </c>
      <c r="K39" s="0">
        <v>0</v>
      </c>
      <c r="L39" s="0">
        <v>0</v>
      </c>
      <c r="M39" s="0">
        <v>0</v>
      </c>
      <c r="N39" s="0" t="b">
        <v>0</v>
      </c>
      <c r="O39" s="2">
        <v>44613.583333333336</v>
      </c>
      <c r="P39" s="2">
        <v>44613.625</v>
      </c>
      <c r="Q39" s="2">
        <v>44613.208333333336</v>
      </c>
      <c r="R39" s="2">
        <v>44613.25</v>
      </c>
      <c r="S39" s="0">
        <v>60</v>
      </c>
      <c r="T39" s="0">
        <v>12</v>
      </c>
      <c r="U39" s="0">
        <v>36</v>
      </c>
      <c r="V39" s="0">
        <v>437</v>
      </c>
      <c r="W39" s="1">
        <f>=HYPERLINK("10.175.1.14\MWEB.12\SEP\EntityDetails.10.175.1.14.MWEB.12.-connect-mob.437.xlsx", "&lt;Detail&gt;")</f>
      </c>
      <c r="X39" s="1">
        <f>=HYPERLINK("10.175.1.14\MWEB.12\SEP\MetricGraphs.SEP.10.175.1.14.MWEB.12.xlsx", "&lt;Metrics&gt;")</f>
      </c>
      <c r="Y39" s="0" t="s">
        <v>107</v>
      </c>
      <c r="Z39" s="0" t="s">
        <v>108</v>
      </c>
      <c r="AA39" s="0" t="s">
        <v>134</v>
      </c>
      <c r="AB39" s="0" t="s">
        <v>635</v>
      </c>
      <c r="AC39" s="0" t="s">
        <v>109</v>
      </c>
    </row>
    <row r="40">
      <c r="A40" s="0" t="s">
        <v>28</v>
      </c>
      <c r="B40" s="0" t="s">
        <v>30</v>
      </c>
      <c r="C40" s="0" t="s">
        <v>133</v>
      </c>
      <c r="D40" s="0" t="s">
        <v>249</v>
      </c>
      <c r="E40" s="0" t="s">
        <v>229</v>
      </c>
      <c r="F40" s="0">
        <v>0</v>
      </c>
      <c r="G40" s="0" t="s">
        <v>106</v>
      </c>
      <c r="H40" s="0">
        <v>0</v>
      </c>
      <c r="I40" s="0">
        <v>0</v>
      </c>
      <c r="J40" s="0">
        <v>0</v>
      </c>
      <c r="K40" s="0">
        <v>0</v>
      </c>
      <c r="L40" s="0">
        <v>0</v>
      </c>
      <c r="M40" s="0">
        <v>0</v>
      </c>
      <c r="N40" s="0" t="b">
        <v>0</v>
      </c>
      <c r="O40" s="2">
        <v>44613.583333333336</v>
      </c>
      <c r="P40" s="2">
        <v>44613.625</v>
      </c>
      <c r="Q40" s="2">
        <v>44613.208333333336</v>
      </c>
      <c r="R40" s="2">
        <v>44613.25</v>
      </c>
      <c r="S40" s="0">
        <v>60</v>
      </c>
      <c r="T40" s="0">
        <v>12</v>
      </c>
      <c r="U40" s="0">
        <v>36</v>
      </c>
      <c r="V40" s="0">
        <v>339</v>
      </c>
      <c r="W40" s="1">
        <f>=HYPERLINK("10.175.1.14\MWEB.12\SEP\EntityDetails.10.175.1.14.MWEB.12.-connect-red.339.xlsx", "&lt;Detail&gt;")</f>
      </c>
      <c r="X40" s="1">
        <f>=HYPERLINK("10.175.1.14\MWEB.12\SEP\MetricGraphs.SEP.10.175.1.14.MWEB.12.xlsx", "&lt;Metrics&gt;")</f>
      </c>
      <c r="Y40" s="0" t="s">
        <v>107</v>
      </c>
      <c r="Z40" s="0" t="s">
        <v>108</v>
      </c>
      <c r="AA40" s="0" t="s">
        <v>134</v>
      </c>
      <c r="AB40" s="0" t="s">
        <v>636</v>
      </c>
      <c r="AC40" s="0" t="s">
        <v>109</v>
      </c>
    </row>
    <row r="41">
      <c r="A41" s="0" t="s">
        <v>28</v>
      </c>
      <c r="B41" s="0" t="s">
        <v>30</v>
      </c>
      <c r="C41" s="0" t="s">
        <v>133</v>
      </c>
      <c r="D41" s="0" t="s">
        <v>251</v>
      </c>
      <c r="E41" s="0" t="s">
        <v>229</v>
      </c>
      <c r="F41" s="0">
        <v>0</v>
      </c>
      <c r="G41" s="0" t="s">
        <v>106</v>
      </c>
      <c r="H41" s="0">
        <v>0</v>
      </c>
      <c r="I41" s="0">
        <v>0</v>
      </c>
      <c r="J41" s="0">
        <v>0</v>
      </c>
      <c r="K41" s="0">
        <v>0</v>
      </c>
      <c r="L41" s="0">
        <v>0</v>
      </c>
      <c r="M41" s="0">
        <v>0</v>
      </c>
      <c r="N41" s="0" t="b">
        <v>0</v>
      </c>
      <c r="O41" s="2">
        <v>44613.583333333336</v>
      </c>
      <c r="P41" s="2">
        <v>44613.625</v>
      </c>
      <c r="Q41" s="2">
        <v>44613.208333333336</v>
      </c>
      <c r="R41" s="2">
        <v>44613.25</v>
      </c>
      <c r="S41" s="0">
        <v>60</v>
      </c>
      <c r="T41" s="0">
        <v>12</v>
      </c>
      <c r="U41" s="0">
        <v>36</v>
      </c>
      <c r="V41" s="0">
        <v>199</v>
      </c>
      <c r="W41" s="1">
        <f>=HYPERLINK("10.175.1.14\MWEB.12\SEP\EntityDetails.10.175.1.14.MWEB.12.-connect-WEB.199.xlsx", "&lt;Detail&gt;")</f>
      </c>
      <c r="X41" s="1">
        <f>=HYPERLINK("10.175.1.14\MWEB.12\SEP\MetricGraphs.SEP.10.175.1.14.MWEB.12.xlsx", "&lt;Metrics&gt;")</f>
      </c>
      <c r="Y41" s="0" t="s">
        <v>107</v>
      </c>
      <c r="Z41" s="0" t="s">
        <v>108</v>
      </c>
      <c r="AA41" s="0" t="s">
        <v>134</v>
      </c>
      <c r="AB41" s="0" t="s">
        <v>637</v>
      </c>
      <c r="AC41" s="0" t="s">
        <v>109</v>
      </c>
    </row>
    <row r="42">
      <c r="A42" s="0" t="s">
        <v>28</v>
      </c>
      <c r="B42" s="0" t="s">
        <v>30</v>
      </c>
      <c r="C42" s="0" t="s">
        <v>135</v>
      </c>
      <c r="D42" s="0" t="s">
        <v>251</v>
      </c>
      <c r="E42" s="0" t="s">
        <v>229</v>
      </c>
      <c r="F42" s="0">
        <v>0</v>
      </c>
      <c r="G42" s="0" t="s">
        <v>106</v>
      </c>
      <c r="H42" s="0">
        <v>0</v>
      </c>
      <c r="I42" s="0">
        <v>0</v>
      </c>
      <c r="J42" s="0">
        <v>0</v>
      </c>
      <c r="K42" s="0">
        <v>0</v>
      </c>
      <c r="L42" s="0">
        <v>0</v>
      </c>
      <c r="M42" s="0">
        <v>0</v>
      </c>
      <c r="N42" s="0" t="b">
        <v>0</v>
      </c>
      <c r="O42" s="2">
        <v>44613.583333333336</v>
      </c>
      <c r="P42" s="2">
        <v>44613.625</v>
      </c>
      <c r="Q42" s="2">
        <v>44613.208333333336</v>
      </c>
      <c r="R42" s="2">
        <v>44613.25</v>
      </c>
      <c r="S42" s="0">
        <v>60</v>
      </c>
      <c r="T42" s="0">
        <v>12</v>
      </c>
      <c r="U42" s="0">
        <v>37</v>
      </c>
      <c r="V42" s="0">
        <v>281</v>
      </c>
      <c r="W42" s="1">
        <f>=HYPERLINK("10.175.1.14\MWEB.12\SEP\EntityDetails.10.175.1.14.MWEB.12.-connect-WEB.281.xlsx", "&lt;Detail&gt;")</f>
      </c>
      <c r="X42" s="1">
        <f>=HYPERLINK("10.175.1.14\MWEB.12\SEP\MetricGraphs.SEP.10.175.1.14.MWEB.12.xlsx", "&lt;Metrics&gt;")</f>
      </c>
      <c r="Y42" s="0" t="s">
        <v>107</v>
      </c>
      <c r="Z42" s="0" t="s">
        <v>108</v>
      </c>
      <c r="AA42" s="0" t="s">
        <v>136</v>
      </c>
      <c r="AB42" s="0" t="s">
        <v>638</v>
      </c>
      <c r="AC42" s="0" t="s">
        <v>109</v>
      </c>
    </row>
    <row r="43">
      <c r="A43" s="0" t="s">
        <v>28</v>
      </c>
      <c r="B43" s="0" t="s">
        <v>30</v>
      </c>
      <c r="C43" s="0" t="s">
        <v>137</v>
      </c>
      <c r="D43" s="0" t="s">
        <v>251</v>
      </c>
      <c r="E43" s="0" t="s">
        <v>229</v>
      </c>
      <c r="F43" s="0">
        <v>0</v>
      </c>
      <c r="G43" s="0" t="s">
        <v>106</v>
      </c>
      <c r="H43" s="0">
        <v>0</v>
      </c>
      <c r="I43" s="0">
        <v>0</v>
      </c>
      <c r="J43" s="0">
        <v>0</v>
      </c>
      <c r="K43" s="0">
        <v>0</v>
      </c>
      <c r="L43" s="0">
        <v>0</v>
      </c>
      <c r="M43" s="0">
        <v>0</v>
      </c>
      <c r="N43" s="0" t="b">
        <v>0</v>
      </c>
      <c r="O43" s="2">
        <v>44613.583333333336</v>
      </c>
      <c r="P43" s="2">
        <v>44613.625</v>
      </c>
      <c r="Q43" s="2">
        <v>44613.208333333336</v>
      </c>
      <c r="R43" s="2">
        <v>44613.25</v>
      </c>
      <c r="S43" s="0">
        <v>60</v>
      </c>
      <c r="T43" s="0">
        <v>12</v>
      </c>
      <c r="U43" s="0">
        <v>38</v>
      </c>
      <c r="V43" s="0">
        <v>283</v>
      </c>
      <c r="W43" s="1">
        <f>=HYPERLINK("10.175.1.14\MWEB.12\SEP\EntityDetails.10.175.1.14.MWEB.12.-connect-WEB.283.xlsx", "&lt;Detail&gt;")</f>
      </c>
      <c r="X43" s="1">
        <f>=HYPERLINK("10.175.1.14\MWEB.12\SEP\MetricGraphs.SEP.10.175.1.14.MWEB.12.xlsx", "&lt;Metrics&gt;")</f>
      </c>
      <c r="Y43" s="0" t="s">
        <v>107</v>
      </c>
      <c r="Z43" s="0" t="s">
        <v>108</v>
      </c>
      <c r="AA43" s="0" t="s">
        <v>138</v>
      </c>
      <c r="AB43" s="0" t="s">
        <v>639</v>
      </c>
      <c r="AC43" s="0" t="s">
        <v>109</v>
      </c>
    </row>
    <row r="44">
      <c r="A44" s="0" t="s">
        <v>28</v>
      </c>
      <c r="B44" s="0" t="s">
        <v>30</v>
      </c>
      <c r="C44" s="0" t="s">
        <v>157</v>
      </c>
      <c r="D44" s="0" t="s">
        <v>251</v>
      </c>
      <c r="E44" s="0" t="s">
        <v>229</v>
      </c>
      <c r="F44" s="0">
        <v>0</v>
      </c>
      <c r="G44" s="0" t="s">
        <v>106</v>
      </c>
      <c r="H44" s="0">
        <v>0</v>
      </c>
      <c r="I44" s="0">
        <v>0</v>
      </c>
      <c r="J44" s="0">
        <v>0</v>
      </c>
      <c r="K44" s="0">
        <v>0</v>
      </c>
      <c r="L44" s="0">
        <v>0</v>
      </c>
      <c r="M44" s="0">
        <v>0</v>
      </c>
      <c r="N44" s="0" t="b">
        <v>0</v>
      </c>
      <c r="O44" s="2">
        <v>44613.583333333336</v>
      </c>
      <c r="P44" s="2">
        <v>44613.625</v>
      </c>
      <c r="Q44" s="2">
        <v>44613.208333333336</v>
      </c>
      <c r="R44" s="2">
        <v>44613.25</v>
      </c>
      <c r="S44" s="0">
        <v>60</v>
      </c>
      <c r="T44" s="0">
        <v>12</v>
      </c>
      <c r="U44" s="0">
        <v>53</v>
      </c>
      <c r="V44" s="0">
        <v>2531</v>
      </c>
      <c r="W44" s="1">
        <f>=HYPERLINK("10.175.1.14\MWEB.12\SEP\EntityDetails.10.175.1.14.MWEB.12.-connect-WEB.2531.xlsx", "&lt;Detail&gt;")</f>
      </c>
      <c r="X44" s="1">
        <f>=HYPERLINK("10.175.1.14\MWEB.12\SEP\MetricGraphs.SEP.10.175.1.14.MWEB.12.xlsx", "&lt;Metrics&gt;")</f>
      </c>
      <c r="Y44" s="0" t="s">
        <v>107</v>
      </c>
      <c r="Z44" s="0" t="s">
        <v>108</v>
      </c>
      <c r="AA44" s="0" t="s">
        <v>158</v>
      </c>
      <c r="AB44" s="0" t="s">
        <v>640</v>
      </c>
      <c r="AC44" s="0" t="s">
        <v>109</v>
      </c>
    </row>
    <row r="45">
      <c r="A45" s="0" t="s">
        <v>28</v>
      </c>
      <c r="B45" s="0" t="s">
        <v>30</v>
      </c>
      <c r="C45" s="0" t="s">
        <v>125</v>
      </c>
      <c r="D45" s="0" t="s">
        <v>641</v>
      </c>
      <c r="E45" s="0" t="s">
        <v>229</v>
      </c>
      <c r="F45" s="0">
        <v>0</v>
      </c>
      <c r="G45" s="0" t="s">
        <v>106</v>
      </c>
      <c r="H45" s="0">
        <v>0</v>
      </c>
      <c r="I45" s="0">
        <v>0</v>
      </c>
      <c r="J45" s="0">
        <v>0</v>
      </c>
      <c r="K45" s="0">
        <v>0</v>
      </c>
      <c r="L45" s="0">
        <v>0</v>
      </c>
      <c r="M45" s="0">
        <v>0</v>
      </c>
      <c r="N45" s="0" t="b">
        <v>0</v>
      </c>
      <c r="O45" s="2">
        <v>44613.583333333336</v>
      </c>
      <c r="P45" s="2">
        <v>44613.625</v>
      </c>
      <c r="Q45" s="2">
        <v>44613.208333333336</v>
      </c>
      <c r="R45" s="2">
        <v>44613.25</v>
      </c>
      <c r="S45" s="0">
        <v>60</v>
      </c>
      <c r="T45" s="0">
        <v>12</v>
      </c>
      <c r="U45" s="0">
        <v>42</v>
      </c>
      <c r="V45" s="0">
        <v>222</v>
      </c>
      <c r="W45" s="1">
        <f>=HYPERLINK("10.175.1.14\MWEB.12\SEP\EntityDetails.10.175.1.14.MWEB.12.-console-log.222.xlsx", "&lt;Detail&gt;")</f>
      </c>
      <c r="X45" s="1">
        <f>=HYPERLINK("10.175.1.14\MWEB.12\SEP\MetricGraphs.SEP.10.175.1.14.MWEB.12.xlsx", "&lt;Metrics&gt;")</f>
      </c>
      <c r="Y45" s="0" t="s">
        <v>107</v>
      </c>
      <c r="Z45" s="0" t="s">
        <v>108</v>
      </c>
      <c r="AA45" s="0" t="s">
        <v>126</v>
      </c>
      <c r="AB45" s="0" t="s">
        <v>642</v>
      </c>
      <c r="AC45" s="0" t="s">
        <v>109</v>
      </c>
    </row>
    <row r="46">
      <c r="A46" s="0" t="s">
        <v>28</v>
      </c>
      <c r="B46" s="0" t="s">
        <v>30</v>
      </c>
      <c r="C46" s="0" t="s">
        <v>125</v>
      </c>
      <c r="D46" s="0" t="s">
        <v>643</v>
      </c>
      <c r="E46" s="0" t="s">
        <v>229</v>
      </c>
      <c r="F46" s="0">
        <v>0</v>
      </c>
      <c r="G46" s="0" t="s">
        <v>106</v>
      </c>
      <c r="H46" s="0">
        <v>0</v>
      </c>
      <c r="I46" s="0">
        <v>0</v>
      </c>
      <c r="J46" s="0">
        <v>0</v>
      </c>
      <c r="K46" s="0">
        <v>0</v>
      </c>
      <c r="L46" s="0">
        <v>0</v>
      </c>
      <c r="M46" s="0">
        <v>0</v>
      </c>
      <c r="N46" s="0" t="b">
        <v>0</v>
      </c>
      <c r="O46" s="2">
        <v>44613.583333333336</v>
      </c>
      <c r="P46" s="2">
        <v>44613.625</v>
      </c>
      <c r="Q46" s="2">
        <v>44613.208333333336</v>
      </c>
      <c r="R46" s="2">
        <v>44613.25</v>
      </c>
      <c r="S46" s="0">
        <v>60</v>
      </c>
      <c r="T46" s="0">
        <v>12</v>
      </c>
      <c r="U46" s="0">
        <v>42</v>
      </c>
      <c r="V46" s="0">
        <v>1192</v>
      </c>
      <c r="W46" s="1">
        <f>=HYPERLINK("10.175.1.14\MWEB.12\SEP\EntityDetails.10.175.1.14.MWEB.12.-CSCOnm-serv.1192.xlsx", "&lt;Detail&gt;")</f>
      </c>
      <c r="X46" s="1">
        <f>=HYPERLINK("10.175.1.14\MWEB.12\SEP\MetricGraphs.SEP.10.175.1.14.MWEB.12.xlsx", "&lt;Metrics&gt;")</f>
      </c>
      <c r="Y46" s="0" t="s">
        <v>107</v>
      </c>
      <c r="Z46" s="0" t="s">
        <v>108</v>
      </c>
      <c r="AA46" s="0" t="s">
        <v>126</v>
      </c>
      <c r="AB46" s="0" t="s">
        <v>644</v>
      </c>
      <c r="AC46" s="0" t="s">
        <v>109</v>
      </c>
    </row>
    <row r="47">
      <c r="A47" s="0" t="s">
        <v>28</v>
      </c>
      <c r="B47" s="0" t="s">
        <v>30</v>
      </c>
      <c r="C47" s="0" t="s">
        <v>127</v>
      </c>
      <c r="D47" s="0" t="s">
        <v>643</v>
      </c>
      <c r="E47" s="0" t="s">
        <v>229</v>
      </c>
      <c r="F47" s="0">
        <v>0</v>
      </c>
      <c r="G47" s="0" t="s">
        <v>106</v>
      </c>
      <c r="H47" s="0">
        <v>0</v>
      </c>
      <c r="I47" s="0">
        <v>0</v>
      </c>
      <c r="J47" s="0">
        <v>0</v>
      </c>
      <c r="K47" s="0">
        <v>0</v>
      </c>
      <c r="L47" s="0">
        <v>0</v>
      </c>
      <c r="M47" s="0">
        <v>0</v>
      </c>
      <c r="N47" s="0" t="b">
        <v>0</v>
      </c>
      <c r="O47" s="2">
        <v>44613.583333333336</v>
      </c>
      <c r="P47" s="2">
        <v>44613.625</v>
      </c>
      <c r="Q47" s="2">
        <v>44613.208333333336</v>
      </c>
      <c r="R47" s="2">
        <v>44613.25</v>
      </c>
      <c r="S47" s="0">
        <v>60</v>
      </c>
      <c r="T47" s="0">
        <v>12</v>
      </c>
      <c r="U47" s="0">
        <v>39</v>
      </c>
      <c r="V47" s="0">
        <v>1207</v>
      </c>
      <c r="W47" s="1">
        <f>=HYPERLINK("10.175.1.14\MWEB.12\SEP\EntityDetails.10.175.1.14.MWEB.12.-CSCOnm-serv.1207.xlsx", "&lt;Detail&gt;")</f>
      </c>
      <c r="X47" s="1">
        <f>=HYPERLINK("10.175.1.14\MWEB.12\SEP\MetricGraphs.SEP.10.175.1.14.MWEB.12.xlsx", "&lt;Metrics&gt;")</f>
      </c>
      <c r="Y47" s="0" t="s">
        <v>107</v>
      </c>
      <c r="Z47" s="0" t="s">
        <v>108</v>
      </c>
      <c r="AA47" s="0" t="s">
        <v>128</v>
      </c>
      <c r="AB47" s="0" t="s">
        <v>645</v>
      </c>
      <c r="AC47" s="0" t="s">
        <v>109</v>
      </c>
    </row>
    <row r="48">
      <c r="A48" s="0" t="s">
        <v>28</v>
      </c>
      <c r="B48" s="0" t="s">
        <v>30</v>
      </c>
      <c r="C48" s="0" t="s">
        <v>133</v>
      </c>
      <c r="D48" s="0" t="s">
        <v>643</v>
      </c>
      <c r="E48" s="0" t="s">
        <v>229</v>
      </c>
      <c r="F48" s="0">
        <v>0</v>
      </c>
      <c r="G48" s="0" t="s">
        <v>106</v>
      </c>
      <c r="H48" s="0">
        <v>0</v>
      </c>
      <c r="I48" s="0">
        <v>0</v>
      </c>
      <c r="J48" s="0">
        <v>0</v>
      </c>
      <c r="K48" s="0">
        <v>0</v>
      </c>
      <c r="L48" s="0">
        <v>0</v>
      </c>
      <c r="M48" s="0">
        <v>0</v>
      </c>
      <c r="N48" s="0" t="b">
        <v>0</v>
      </c>
      <c r="O48" s="2">
        <v>44613.583333333336</v>
      </c>
      <c r="P48" s="2">
        <v>44613.625</v>
      </c>
      <c r="Q48" s="2">
        <v>44613.208333333336</v>
      </c>
      <c r="R48" s="2">
        <v>44613.25</v>
      </c>
      <c r="S48" s="0">
        <v>60</v>
      </c>
      <c r="T48" s="0">
        <v>12</v>
      </c>
      <c r="U48" s="0">
        <v>36</v>
      </c>
      <c r="V48" s="0">
        <v>1242</v>
      </c>
      <c r="W48" s="1">
        <f>=HYPERLINK("10.175.1.14\MWEB.12\SEP\EntityDetails.10.175.1.14.MWEB.12.-CSCOnm-serv.1242.xlsx", "&lt;Detail&gt;")</f>
      </c>
      <c r="X48" s="1">
        <f>=HYPERLINK("10.175.1.14\MWEB.12\SEP\MetricGraphs.SEP.10.175.1.14.MWEB.12.xlsx", "&lt;Metrics&gt;")</f>
      </c>
      <c r="Y48" s="0" t="s">
        <v>107</v>
      </c>
      <c r="Z48" s="0" t="s">
        <v>108</v>
      </c>
      <c r="AA48" s="0" t="s">
        <v>134</v>
      </c>
      <c r="AB48" s="0" t="s">
        <v>646</v>
      </c>
      <c r="AC48" s="0" t="s">
        <v>109</v>
      </c>
    </row>
    <row r="49">
      <c r="A49" s="0" t="s">
        <v>28</v>
      </c>
      <c r="B49" s="0" t="s">
        <v>30</v>
      </c>
      <c r="C49" s="0" t="s">
        <v>125</v>
      </c>
      <c r="D49" s="0" t="s">
        <v>647</v>
      </c>
      <c r="E49" s="0" t="s">
        <v>229</v>
      </c>
      <c r="F49" s="0">
        <v>0</v>
      </c>
      <c r="G49" s="0" t="s">
        <v>106</v>
      </c>
      <c r="H49" s="0">
        <v>0</v>
      </c>
      <c r="I49" s="0">
        <v>0</v>
      </c>
      <c r="J49" s="0">
        <v>0</v>
      </c>
      <c r="K49" s="0">
        <v>0</v>
      </c>
      <c r="L49" s="0">
        <v>0</v>
      </c>
      <c r="M49" s="0">
        <v>0</v>
      </c>
      <c r="N49" s="0" t="b">
        <v>0</v>
      </c>
      <c r="O49" s="2">
        <v>44613.583333333336</v>
      </c>
      <c r="P49" s="2">
        <v>44613.625</v>
      </c>
      <c r="Q49" s="2">
        <v>44613.208333333336</v>
      </c>
      <c r="R49" s="2">
        <v>44613.25</v>
      </c>
      <c r="S49" s="0">
        <v>60</v>
      </c>
      <c r="T49" s="0">
        <v>12</v>
      </c>
      <c r="U49" s="0">
        <v>42</v>
      </c>
      <c r="V49" s="0">
        <v>1191</v>
      </c>
      <c r="W49" s="1">
        <f>=HYPERLINK("10.175.1.14\MWEB.12\SEP\EntityDetails.10.175.1.14.MWEB.12.-cwhp-CSMSDe.1191.xlsx", "&lt;Detail&gt;")</f>
      </c>
      <c r="X49" s="1">
        <f>=HYPERLINK("10.175.1.14\MWEB.12\SEP\MetricGraphs.SEP.10.175.1.14.MWEB.12.xlsx", "&lt;Metrics&gt;")</f>
      </c>
      <c r="Y49" s="0" t="s">
        <v>107</v>
      </c>
      <c r="Z49" s="0" t="s">
        <v>108</v>
      </c>
      <c r="AA49" s="0" t="s">
        <v>126</v>
      </c>
      <c r="AB49" s="0" t="s">
        <v>648</v>
      </c>
      <c r="AC49" s="0" t="s">
        <v>109</v>
      </c>
    </row>
    <row r="50">
      <c r="A50" s="0" t="s">
        <v>28</v>
      </c>
      <c r="B50" s="0" t="s">
        <v>30</v>
      </c>
      <c r="C50" s="0" t="s">
        <v>127</v>
      </c>
      <c r="D50" s="0" t="s">
        <v>647</v>
      </c>
      <c r="E50" s="0" t="s">
        <v>229</v>
      </c>
      <c r="F50" s="0">
        <v>0</v>
      </c>
      <c r="G50" s="0" t="s">
        <v>106</v>
      </c>
      <c r="H50" s="0">
        <v>0</v>
      </c>
      <c r="I50" s="0">
        <v>0</v>
      </c>
      <c r="J50" s="0">
        <v>0</v>
      </c>
      <c r="K50" s="0">
        <v>0</v>
      </c>
      <c r="L50" s="0">
        <v>0</v>
      </c>
      <c r="M50" s="0">
        <v>0</v>
      </c>
      <c r="N50" s="0" t="b">
        <v>0</v>
      </c>
      <c r="O50" s="2">
        <v>44613.583333333336</v>
      </c>
      <c r="P50" s="2">
        <v>44613.625</v>
      </c>
      <c r="Q50" s="2">
        <v>44613.208333333336</v>
      </c>
      <c r="R50" s="2">
        <v>44613.25</v>
      </c>
      <c r="S50" s="0">
        <v>60</v>
      </c>
      <c r="T50" s="0">
        <v>12</v>
      </c>
      <c r="U50" s="0">
        <v>39</v>
      </c>
      <c r="V50" s="0">
        <v>1206</v>
      </c>
      <c r="W50" s="1">
        <f>=HYPERLINK("10.175.1.14\MWEB.12\SEP\EntityDetails.10.175.1.14.MWEB.12.-cwhp-CSMSDe.1206.xlsx", "&lt;Detail&gt;")</f>
      </c>
      <c r="X50" s="1">
        <f>=HYPERLINK("10.175.1.14\MWEB.12\SEP\MetricGraphs.SEP.10.175.1.14.MWEB.12.xlsx", "&lt;Metrics&gt;")</f>
      </c>
      <c r="Y50" s="0" t="s">
        <v>107</v>
      </c>
      <c r="Z50" s="0" t="s">
        <v>108</v>
      </c>
      <c r="AA50" s="0" t="s">
        <v>128</v>
      </c>
      <c r="AB50" s="0" t="s">
        <v>649</v>
      </c>
      <c r="AC50" s="0" t="s">
        <v>109</v>
      </c>
    </row>
    <row r="51">
      <c r="A51" s="0" t="s">
        <v>28</v>
      </c>
      <c r="B51" s="0" t="s">
        <v>30</v>
      </c>
      <c r="C51" s="0" t="s">
        <v>125</v>
      </c>
      <c r="D51" s="0" t="s">
        <v>253</v>
      </c>
      <c r="E51" s="0" t="s">
        <v>229</v>
      </c>
      <c r="F51" s="0">
        <v>0</v>
      </c>
      <c r="G51" s="0" t="s">
        <v>106</v>
      </c>
      <c r="H51" s="0">
        <v>0</v>
      </c>
      <c r="I51" s="0">
        <v>0</v>
      </c>
      <c r="J51" s="0">
        <v>0</v>
      </c>
      <c r="K51" s="0">
        <v>0</v>
      </c>
      <c r="L51" s="0">
        <v>0</v>
      </c>
      <c r="M51" s="0">
        <v>0</v>
      </c>
      <c r="N51" s="0" t="b">
        <v>0</v>
      </c>
      <c r="O51" s="2">
        <v>44613.583333333336</v>
      </c>
      <c r="P51" s="2">
        <v>44613.625</v>
      </c>
      <c r="Q51" s="2">
        <v>44613.208333333336</v>
      </c>
      <c r="R51" s="2">
        <v>44613.25</v>
      </c>
      <c r="S51" s="0">
        <v>60</v>
      </c>
      <c r="T51" s="0">
        <v>12</v>
      </c>
      <c r="U51" s="0">
        <v>42</v>
      </c>
      <c r="V51" s="0">
        <v>1175</v>
      </c>
      <c r="W51" s="1">
        <f>=HYPERLINK("10.175.1.14\MWEB.12\SEP\EntityDetails.10.175.1.14.MWEB.12.-dms2-Login..1175.xlsx", "&lt;Detail&gt;")</f>
      </c>
      <c r="X51" s="1">
        <f>=HYPERLINK("10.175.1.14\MWEB.12\SEP\MetricGraphs.SEP.10.175.1.14.MWEB.12.xlsx", "&lt;Metrics&gt;")</f>
      </c>
      <c r="Y51" s="0" t="s">
        <v>107</v>
      </c>
      <c r="Z51" s="0" t="s">
        <v>108</v>
      </c>
      <c r="AA51" s="0" t="s">
        <v>126</v>
      </c>
      <c r="AB51" s="0" t="s">
        <v>650</v>
      </c>
      <c r="AC51" s="0" t="s">
        <v>109</v>
      </c>
    </row>
    <row r="52">
      <c r="A52" s="0" t="s">
        <v>28</v>
      </c>
      <c r="B52" s="0" t="s">
        <v>30</v>
      </c>
      <c r="C52" s="0" t="s">
        <v>127</v>
      </c>
      <c r="D52" s="0" t="s">
        <v>253</v>
      </c>
      <c r="E52" s="0" t="s">
        <v>229</v>
      </c>
      <c r="F52" s="0">
        <v>0</v>
      </c>
      <c r="G52" s="0" t="s">
        <v>106</v>
      </c>
      <c r="H52" s="0">
        <v>0</v>
      </c>
      <c r="I52" s="0">
        <v>0</v>
      </c>
      <c r="J52" s="0">
        <v>0</v>
      </c>
      <c r="K52" s="0">
        <v>0</v>
      </c>
      <c r="L52" s="0">
        <v>0</v>
      </c>
      <c r="M52" s="0">
        <v>0</v>
      </c>
      <c r="N52" s="0" t="b">
        <v>0</v>
      </c>
      <c r="O52" s="2">
        <v>44613.583333333336</v>
      </c>
      <c r="P52" s="2">
        <v>44613.625</v>
      </c>
      <c r="Q52" s="2">
        <v>44613.208333333336</v>
      </c>
      <c r="R52" s="2">
        <v>44613.25</v>
      </c>
      <c r="S52" s="0">
        <v>60</v>
      </c>
      <c r="T52" s="0">
        <v>12</v>
      </c>
      <c r="U52" s="0">
        <v>39</v>
      </c>
      <c r="V52" s="0">
        <v>1195</v>
      </c>
      <c r="W52" s="1">
        <f>=HYPERLINK("10.175.1.14\MWEB.12\SEP\EntityDetails.10.175.1.14.MWEB.12.-dms2-Login..1195.xlsx", "&lt;Detail&gt;")</f>
      </c>
      <c r="X52" s="1">
        <f>=HYPERLINK("10.175.1.14\MWEB.12\SEP\MetricGraphs.SEP.10.175.1.14.MWEB.12.xlsx", "&lt;Metrics&gt;")</f>
      </c>
      <c r="Y52" s="0" t="s">
        <v>107</v>
      </c>
      <c r="Z52" s="0" t="s">
        <v>108</v>
      </c>
      <c r="AA52" s="0" t="s">
        <v>128</v>
      </c>
      <c r="AB52" s="0" t="s">
        <v>651</v>
      </c>
      <c r="AC52" s="0" t="s">
        <v>109</v>
      </c>
    </row>
    <row r="53">
      <c r="A53" s="0" t="s">
        <v>28</v>
      </c>
      <c r="B53" s="0" t="s">
        <v>30</v>
      </c>
      <c r="C53" s="0" t="s">
        <v>133</v>
      </c>
      <c r="D53" s="0" t="s">
        <v>253</v>
      </c>
      <c r="E53" s="0" t="s">
        <v>229</v>
      </c>
      <c r="F53" s="0">
        <v>0</v>
      </c>
      <c r="G53" s="0" t="s">
        <v>106</v>
      </c>
      <c r="H53" s="0">
        <v>0</v>
      </c>
      <c r="I53" s="0">
        <v>0</v>
      </c>
      <c r="J53" s="0">
        <v>0</v>
      </c>
      <c r="K53" s="0">
        <v>0</v>
      </c>
      <c r="L53" s="0">
        <v>0</v>
      </c>
      <c r="M53" s="0">
        <v>0</v>
      </c>
      <c r="N53" s="0" t="b">
        <v>0</v>
      </c>
      <c r="O53" s="2">
        <v>44613.583333333336</v>
      </c>
      <c r="P53" s="2">
        <v>44613.625</v>
      </c>
      <c r="Q53" s="2">
        <v>44613.208333333336</v>
      </c>
      <c r="R53" s="2">
        <v>44613.25</v>
      </c>
      <c r="S53" s="0">
        <v>60</v>
      </c>
      <c r="T53" s="0">
        <v>12</v>
      </c>
      <c r="U53" s="0">
        <v>36</v>
      </c>
      <c r="V53" s="0">
        <v>1222</v>
      </c>
      <c r="W53" s="1">
        <f>=HYPERLINK("10.175.1.14\MWEB.12\SEP\EntityDetails.10.175.1.14.MWEB.12.-dms2-Login..1222.xlsx", "&lt;Detail&gt;")</f>
      </c>
      <c r="X53" s="1">
        <f>=HYPERLINK("10.175.1.14\MWEB.12\SEP\MetricGraphs.SEP.10.175.1.14.MWEB.12.xlsx", "&lt;Metrics&gt;")</f>
      </c>
      <c r="Y53" s="0" t="s">
        <v>107</v>
      </c>
      <c r="Z53" s="0" t="s">
        <v>108</v>
      </c>
      <c r="AA53" s="0" t="s">
        <v>134</v>
      </c>
      <c r="AB53" s="0" t="s">
        <v>652</v>
      </c>
      <c r="AC53" s="0" t="s">
        <v>109</v>
      </c>
    </row>
    <row r="54">
      <c r="A54" s="0" t="s">
        <v>28</v>
      </c>
      <c r="B54" s="0" t="s">
        <v>30</v>
      </c>
      <c r="C54" s="0" t="s">
        <v>133</v>
      </c>
      <c r="D54" s="0" t="s">
        <v>653</v>
      </c>
      <c r="E54" s="0" t="s">
        <v>229</v>
      </c>
      <c r="F54" s="0">
        <v>0</v>
      </c>
      <c r="G54" s="0" t="s">
        <v>106</v>
      </c>
      <c r="H54" s="0">
        <v>0</v>
      </c>
      <c r="I54" s="0">
        <v>0</v>
      </c>
      <c r="J54" s="0">
        <v>0</v>
      </c>
      <c r="K54" s="0">
        <v>0</v>
      </c>
      <c r="L54" s="0">
        <v>0</v>
      </c>
      <c r="M54" s="0">
        <v>0</v>
      </c>
      <c r="N54" s="0" t="b">
        <v>0</v>
      </c>
      <c r="O54" s="2">
        <v>44613.583333333336</v>
      </c>
      <c r="P54" s="2">
        <v>44613.625</v>
      </c>
      <c r="Q54" s="2">
        <v>44613.208333333336</v>
      </c>
      <c r="R54" s="2">
        <v>44613.25</v>
      </c>
      <c r="S54" s="0">
        <v>60</v>
      </c>
      <c r="T54" s="0">
        <v>12</v>
      </c>
      <c r="U54" s="0">
        <v>36</v>
      </c>
      <c r="V54" s="0">
        <v>1250</v>
      </c>
      <c r="W54" s="1">
        <f>=HYPERLINK("10.175.1.14\MWEB.12\SEP\EntityDetails.10.175.1.14.MWEB.12.-dswsbobje-a.1250.xlsx", "&lt;Detail&gt;")</f>
      </c>
      <c r="X54" s="1">
        <f>=HYPERLINK("10.175.1.14\MWEB.12\SEP\MetricGraphs.SEP.10.175.1.14.MWEB.12.xlsx", "&lt;Metrics&gt;")</f>
      </c>
      <c r="Y54" s="0" t="s">
        <v>107</v>
      </c>
      <c r="Z54" s="0" t="s">
        <v>108</v>
      </c>
      <c r="AA54" s="0" t="s">
        <v>134</v>
      </c>
      <c r="AB54" s="0" t="s">
        <v>654</v>
      </c>
      <c r="AC54" s="0" t="s">
        <v>109</v>
      </c>
    </row>
    <row r="55">
      <c r="A55" s="0" t="s">
        <v>28</v>
      </c>
      <c r="B55" s="0" t="s">
        <v>30</v>
      </c>
      <c r="C55" s="0" t="s">
        <v>127</v>
      </c>
      <c r="D55" s="0" t="s">
        <v>655</v>
      </c>
      <c r="E55" s="0" t="s">
        <v>229</v>
      </c>
      <c r="F55" s="0">
        <v>0</v>
      </c>
      <c r="G55" s="0" t="s">
        <v>106</v>
      </c>
      <c r="H55" s="0">
        <v>0</v>
      </c>
      <c r="I55" s="0">
        <v>0</v>
      </c>
      <c r="J55" s="0">
        <v>0</v>
      </c>
      <c r="K55" s="0">
        <v>0</v>
      </c>
      <c r="L55" s="0">
        <v>0</v>
      </c>
      <c r="M55" s="0">
        <v>0</v>
      </c>
      <c r="N55" s="0" t="b">
        <v>0</v>
      </c>
      <c r="O55" s="2">
        <v>44613.583333333336</v>
      </c>
      <c r="P55" s="2">
        <v>44613.625</v>
      </c>
      <c r="Q55" s="2">
        <v>44613.208333333336</v>
      </c>
      <c r="R55" s="2">
        <v>44613.25</v>
      </c>
      <c r="S55" s="0">
        <v>60</v>
      </c>
      <c r="T55" s="0">
        <v>12</v>
      </c>
      <c r="U55" s="0">
        <v>39</v>
      </c>
      <c r="V55" s="0">
        <v>1211</v>
      </c>
      <c r="W55" s="1">
        <f>=HYPERLINK("10.175.1.14\MWEB.12\SEP\EntityDetails.10.175.1.14.MWEB.12.-f360-login..1211.xlsx", "&lt;Detail&gt;")</f>
      </c>
      <c r="X55" s="1">
        <f>=HYPERLINK("10.175.1.14\MWEB.12\SEP\MetricGraphs.SEP.10.175.1.14.MWEB.12.xlsx", "&lt;Metrics&gt;")</f>
      </c>
      <c r="Y55" s="0" t="s">
        <v>107</v>
      </c>
      <c r="Z55" s="0" t="s">
        <v>108</v>
      </c>
      <c r="AA55" s="0" t="s">
        <v>128</v>
      </c>
      <c r="AB55" s="0" t="s">
        <v>656</v>
      </c>
      <c r="AC55" s="0" t="s">
        <v>109</v>
      </c>
    </row>
    <row r="56">
      <c r="A56" s="0" t="s">
        <v>28</v>
      </c>
      <c r="B56" s="0" t="s">
        <v>30</v>
      </c>
      <c r="C56" s="0" t="s">
        <v>125</v>
      </c>
      <c r="D56" s="0" t="s">
        <v>261</v>
      </c>
      <c r="E56" s="0" t="s">
        <v>229</v>
      </c>
      <c r="F56" s="0">
        <v>0</v>
      </c>
      <c r="G56" s="0" t="s">
        <v>106</v>
      </c>
      <c r="H56" s="0">
        <v>0</v>
      </c>
      <c r="I56" s="0">
        <v>0</v>
      </c>
      <c r="J56" s="0">
        <v>0</v>
      </c>
      <c r="K56" s="0">
        <v>0</v>
      </c>
      <c r="L56" s="0">
        <v>0</v>
      </c>
      <c r="M56" s="0">
        <v>0</v>
      </c>
      <c r="N56" s="0" t="b">
        <v>0</v>
      </c>
      <c r="O56" s="2">
        <v>44613.583333333336</v>
      </c>
      <c r="P56" s="2">
        <v>44613.625</v>
      </c>
      <c r="Q56" s="2">
        <v>44613.208333333336</v>
      </c>
      <c r="R56" s="2">
        <v>44613.25</v>
      </c>
      <c r="S56" s="0">
        <v>60</v>
      </c>
      <c r="T56" s="0">
        <v>12</v>
      </c>
      <c r="U56" s="0">
        <v>42</v>
      </c>
      <c r="V56" s="0">
        <v>173</v>
      </c>
      <c r="W56" s="1">
        <f>=HYPERLINK("10.175.1.14\MWEB.12\SEP\EntityDetails.10.175.1.14.MWEB.12.-HealthMonit.173.xlsx", "&lt;Detail&gt;")</f>
      </c>
      <c r="X56" s="1">
        <f>=HYPERLINK("10.175.1.14\MWEB.12\SEP\MetricGraphs.SEP.10.175.1.14.MWEB.12.xlsx", "&lt;Metrics&gt;")</f>
      </c>
      <c r="Y56" s="0" t="s">
        <v>107</v>
      </c>
      <c r="Z56" s="0" t="s">
        <v>108</v>
      </c>
      <c r="AA56" s="0" t="s">
        <v>126</v>
      </c>
      <c r="AB56" s="0" t="s">
        <v>657</v>
      </c>
      <c r="AC56" s="0" t="s">
        <v>109</v>
      </c>
    </row>
    <row r="57">
      <c r="A57" s="0" t="s">
        <v>28</v>
      </c>
      <c r="B57" s="0" t="s">
        <v>30</v>
      </c>
      <c r="C57" s="0" t="s">
        <v>127</v>
      </c>
      <c r="D57" s="0" t="s">
        <v>261</v>
      </c>
      <c r="E57" s="0" t="s">
        <v>229</v>
      </c>
      <c r="F57" s="0">
        <v>0</v>
      </c>
      <c r="G57" s="0" t="s">
        <v>106</v>
      </c>
      <c r="H57" s="0">
        <v>0</v>
      </c>
      <c r="I57" s="0">
        <v>0</v>
      </c>
      <c r="J57" s="0">
        <v>0</v>
      </c>
      <c r="K57" s="0">
        <v>0</v>
      </c>
      <c r="L57" s="0">
        <v>0</v>
      </c>
      <c r="M57" s="0">
        <v>0</v>
      </c>
      <c r="N57" s="0" t="b">
        <v>0</v>
      </c>
      <c r="O57" s="2">
        <v>44613.583333333336</v>
      </c>
      <c r="P57" s="2">
        <v>44613.625</v>
      </c>
      <c r="Q57" s="2">
        <v>44613.208333333336</v>
      </c>
      <c r="R57" s="2">
        <v>44613.25</v>
      </c>
      <c r="S57" s="0">
        <v>60</v>
      </c>
      <c r="T57" s="0">
        <v>12</v>
      </c>
      <c r="U57" s="0">
        <v>39</v>
      </c>
      <c r="V57" s="0">
        <v>106</v>
      </c>
      <c r="W57" s="1">
        <f>=HYPERLINK("10.175.1.14\MWEB.12\SEP\EntityDetails.10.175.1.14.MWEB.12.-HealthMonit.106.xlsx", "&lt;Detail&gt;")</f>
      </c>
      <c r="X57" s="1">
        <f>=HYPERLINK("10.175.1.14\MWEB.12\SEP\MetricGraphs.SEP.10.175.1.14.MWEB.12.xlsx", "&lt;Metrics&gt;")</f>
      </c>
      <c r="Y57" s="0" t="s">
        <v>107</v>
      </c>
      <c r="Z57" s="0" t="s">
        <v>108</v>
      </c>
      <c r="AA57" s="0" t="s">
        <v>128</v>
      </c>
      <c r="AB57" s="0" t="s">
        <v>658</v>
      </c>
      <c r="AC57" s="0" t="s">
        <v>109</v>
      </c>
    </row>
    <row r="58">
      <c r="A58" s="0" t="s">
        <v>28</v>
      </c>
      <c r="B58" s="0" t="s">
        <v>30</v>
      </c>
      <c r="C58" s="0" t="s">
        <v>131</v>
      </c>
      <c r="D58" s="0" t="s">
        <v>261</v>
      </c>
      <c r="E58" s="0" t="s">
        <v>229</v>
      </c>
      <c r="F58" s="0">
        <v>0</v>
      </c>
      <c r="G58" s="0" t="s">
        <v>106</v>
      </c>
      <c r="H58" s="0">
        <v>0</v>
      </c>
      <c r="I58" s="0">
        <v>0</v>
      </c>
      <c r="J58" s="0">
        <v>0</v>
      </c>
      <c r="K58" s="0">
        <v>0</v>
      </c>
      <c r="L58" s="0">
        <v>0</v>
      </c>
      <c r="M58" s="0">
        <v>0</v>
      </c>
      <c r="N58" s="0" t="b">
        <v>0</v>
      </c>
      <c r="O58" s="2">
        <v>44613.583333333336</v>
      </c>
      <c r="P58" s="2">
        <v>44613.625</v>
      </c>
      <c r="Q58" s="2">
        <v>44613.208333333336</v>
      </c>
      <c r="R58" s="2">
        <v>44613.25</v>
      </c>
      <c r="S58" s="0">
        <v>60</v>
      </c>
      <c r="T58" s="0">
        <v>12</v>
      </c>
      <c r="U58" s="0">
        <v>40</v>
      </c>
      <c r="V58" s="0">
        <v>359</v>
      </c>
      <c r="W58" s="1">
        <f>=HYPERLINK("10.175.1.14\MWEB.12\SEP\EntityDetails.10.175.1.14.MWEB.12.-HealthMonit.359.xlsx", "&lt;Detail&gt;")</f>
      </c>
      <c r="X58" s="1">
        <f>=HYPERLINK("10.175.1.14\MWEB.12\SEP\MetricGraphs.SEP.10.175.1.14.MWEB.12.xlsx", "&lt;Metrics&gt;")</f>
      </c>
      <c r="Y58" s="0" t="s">
        <v>107</v>
      </c>
      <c r="Z58" s="0" t="s">
        <v>108</v>
      </c>
      <c r="AA58" s="0" t="s">
        <v>132</v>
      </c>
      <c r="AB58" s="0" t="s">
        <v>659</v>
      </c>
      <c r="AC58" s="0" t="s">
        <v>109</v>
      </c>
    </row>
    <row r="59">
      <c r="A59" s="0" t="s">
        <v>28</v>
      </c>
      <c r="B59" s="0" t="s">
        <v>30</v>
      </c>
      <c r="C59" s="0" t="s">
        <v>133</v>
      </c>
      <c r="D59" s="0" t="s">
        <v>261</v>
      </c>
      <c r="E59" s="0" t="s">
        <v>229</v>
      </c>
      <c r="F59" s="0">
        <v>0</v>
      </c>
      <c r="G59" s="0" t="s">
        <v>106</v>
      </c>
      <c r="H59" s="0">
        <v>0</v>
      </c>
      <c r="I59" s="0">
        <v>0</v>
      </c>
      <c r="J59" s="0">
        <v>0</v>
      </c>
      <c r="K59" s="0">
        <v>0</v>
      </c>
      <c r="L59" s="0">
        <v>0</v>
      </c>
      <c r="M59" s="0">
        <v>0</v>
      </c>
      <c r="N59" s="0" t="b">
        <v>0</v>
      </c>
      <c r="O59" s="2">
        <v>44613.583333333336</v>
      </c>
      <c r="P59" s="2">
        <v>44613.625</v>
      </c>
      <c r="Q59" s="2">
        <v>44613.208333333336</v>
      </c>
      <c r="R59" s="2">
        <v>44613.25</v>
      </c>
      <c r="S59" s="0">
        <v>60</v>
      </c>
      <c r="T59" s="0">
        <v>12</v>
      </c>
      <c r="U59" s="0">
        <v>36</v>
      </c>
      <c r="V59" s="0">
        <v>174</v>
      </c>
      <c r="W59" s="1">
        <f>=HYPERLINK("10.175.1.14\MWEB.12\SEP\EntityDetails.10.175.1.14.MWEB.12.-HealthMonit.174.xlsx", "&lt;Detail&gt;")</f>
      </c>
      <c r="X59" s="1">
        <f>=HYPERLINK("10.175.1.14\MWEB.12\SEP\MetricGraphs.SEP.10.175.1.14.MWEB.12.xlsx", "&lt;Metrics&gt;")</f>
      </c>
      <c r="Y59" s="0" t="s">
        <v>107</v>
      </c>
      <c r="Z59" s="0" t="s">
        <v>108</v>
      </c>
      <c r="AA59" s="0" t="s">
        <v>134</v>
      </c>
      <c r="AB59" s="0" t="s">
        <v>660</v>
      </c>
      <c r="AC59" s="0" t="s">
        <v>109</v>
      </c>
    </row>
    <row r="60">
      <c r="A60" s="0" t="s">
        <v>28</v>
      </c>
      <c r="B60" s="0" t="s">
        <v>30</v>
      </c>
      <c r="C60" s="0" t="s">
        <v>135</v>
      </c>
      <c r="D60" s="0" t="s">
        <v>261</v>
      </c>
      <c r="E60" s="0" t="s">
        <v>229</v>
      </c>
      <c r="F60" s="0">
        <v>0</v>
      </c>
      <c r="G60" s="0" t="s">
        <v>106</v>
      </c>
      <c r="H60" s="0">
        <v>0</v>
      </c>
      <c r="I60" s="0">
        <v>0</v>
      </c>
      <c r="J60" s="0">
        <v>0</v>
      </c>
      <c r="K60" s="0">
        <v>0</v>
      </c>
      <c r="L60" s="0">
        <v>0</v>
      </c>
      <c r="M60" s="0">
        <v>0</v>
      </c>
      <c r="N60" s="0" t="b">
        <v>0</v>
      </c>
      <c r="O60" s="2">
        <v>44613.583333333336</v>
      </c>
      <c r="P60" s="2">
        <v>44613.625</v>
      </c>
      <c r="Q60" s="2">
        <v>44613.208333333336</v>
      </c>
      <c r="R60" s="2">
        <v>44613.25</v>
      </c>
      <c r="S60" s="0">
        <v>60</v>
      </c>
      <c r="T60" s="0">
        <v>12</v>
      </c>
      <c r="U60" s="0">
        <v>37</v>
      </c>
      <c r="V60" s="0">
        <v>295</v>
      </c>
      <c r="W60" s="1">
        <f>=HYPERLINK("10.175.1.14\MWEB.12\SEP\EntityDetails.10.175.1.14.MWEB.12.-HealthMonit.295.xlsx", "&lt;Detail&gt;")</f>
      </c>
      <c r="X60" s="1">
        <f>=HYPERLINK("10.175.1.14\MWEB.12\SEP\MetricGraphs.SEP.10.175.1.14.MWEB.12.xlsx", "&lt;Metrics&gt;")</f>
      </c>
      <c r="Y60" s="0" t="s">
        <v>107</v>
      </c>
      <c r="Z60" s="0" t="s">
        <v>108</v>
      </c>
      <c r="AA60" s="0" t="s">
        <v>136</v>
      </c>
      <c r="AB60" s="0" t="s">
        <v>661</v>
      </c>
      <c r="AC60" s="0" t="s">
        <v>109</v>
      </c>
    </row>
    <row r="61">
      <c r="A61" s="0" t="s">
        <v>28</v>
      </c>
      <c r="B61" s="0" t="s">
        <v>30</v>
      </c>
      <c r="C61" s="0" t="s">
        <v>137</v>
      </c>
      <c r="D61" s="0" t="s">
        <v>261</v>
      </c>
      <c r="E61" s="0" t="s">
        <v>229</v>
      </c>
      <c r="F61" s="0">
        <v>0</v>
      </c>
      <c r="G61" s="0" t="s">
        <v>106</v>
      </c>
      <c r="H61" s="0">
        <v>0</v>
      </c>
      <c r="I61" s="0">
        <v>0</v>
      </c>
      <c r="J61" s="0">
        <v>0</v>
      </c>
      <c r="K61" s="0">
        <v>0</v>
      </c>
      <c r="L61" s="0">
        <v>0</v>
      </c>
      <c r="M61" s="0">
        <v>0</v>
      </c>
      <c r="N61" s="0" t="b">
        <v>0</v>
      </c>
      <c r="O61" s="2">
        <v>44613.583333333336</v>
      </c>
      <c r="P61" s="2">
        <v>44613.625</v>
      </c>
      <c r="Q61" s="2">
        <v>44613.208333333336</v>
      </c>
      <c r="R61" s="2">
        <v>44613.25</v>
      </c>
      <c r="S61" s="0">
        <v>60</v>
      </c>
      <c r="T61" s="0">
        <v>12</v>
      </c>
      <c r="U61" s="0">
        <v>38</v>
      </c>
      <c r="V61" s="0">
        <v>297</v>
      </c>
      <c r="W61" s="1">
        <f>=HYPERLINK("10.175.1.14\MWEB.12\SEP\EntityDetails.10.175.1.14.MWEB.12.-HealthMonit.297.xlsx", "&lt;Detail&gt;")</f>
      </c>
      <c r="X61" s="1">
        <f>=HYPERLINK("10.175.1.14\MWEB.12\SEP\MetricGraphs.SEP.10.175.1.14.MWEB.12.xlsx", "&lt;Metrics&gt;")</f>
      </c>
      <c r="Y61" s="0" t="s">
        <v>107</v>
      </c>
      <c r="Z61" s="0" t="s">
        <v>108</v>
      </c>
      <c r="AA61" s="0" t="s">
        <v>138</v>
      </c>
      <c r="AB61" s="0" t="s">
        <v>662</v>
      </c>
      <c r="AC61" s="0" t="s">
        <v>109</v>
      </c>
    </row>
    <row r="62">
      <c r="A62" s="0" t="s">
        <v>28</v>
      </c>
      <c r="B62" s="0" t="s">
        <v>30</v>
      </c>
      <c r="C62" s="0" t="s">
        <v>147</v>
      </c>
      <c r="D62" s="0" t="s">
        <v>261</v>
      </c>
      <c r="E62" s="0" t="s">
        <v>229</v>
      </c>
      <c r="F62" s="0">
        <v>0</v>
      </c>
      <c r="G62" s="0" t="s">
        <v>106</v>
      </c>
      <c r="H62" s="0">
        <v>0</v>
      </c>
      <c r="I62" s="0">
        <v>0</v>
      </c>
      <c r="J62" s="0">
        <v>0</v>
      </c>
      <c r="K62" s="0">
        <v>0</v>
      </c>
      <c r="L62" s="0">
        <v>0</v>
      </c>
      <c r="M62" s="0">
        <v>0</v>
      </c>
      <c r="N62" s="0" t="b">
        <v>0</v>
      </c>
      <c r="O62" s="2">
        <v>44613.583333333336</v>
      </c>
      <c r="P62" s="2">
        <v>44613.625</v>
      </c>
      <c r="Q62" s="2">
        <v>44613.208333333336</v>
      </c>
      <c r="R62" s="2">
        <v>44613.25</v>
      </c>
      <c r="S62" s="0">
        <v>60</v>
      </c>
      <c r="T62" s="0">
        <v>12</v>
      </c>
      <c r="U62" s="0">
        <v>49</v>
      </c>
      <c r="V62" s="0">
        <v>1956</v>
      </c>
      <c r="W62" s="1">
        <f>=HYPERLINK("10.175.1.14\MWEB.12\SEP\EntityDetails.10.175.1.14.MWEB.12.-HealthMonit.1956.xlsx", "&lt;Detail&gt;")</f>
      </c>
      <c r="X62" s="1">
        <f>=HYPERLINK("10.175.1.14\MWEB.12\SEP\MetricGraphs.SEP.10.175.1.14.MWEB.12.xlsx", "&lt;Metrics&gt;")</f>
      </c>
      <c r="Y62" s="0" t="s">
        <v>107</v>
      </c>
      <c r="Z62" s="0" t="s">
        <v>108</v>
      </c>
      <c r="AA62" s="0" t="s">
        <v>148</v>
      </c>
      <c r="AB62" s="0" t="s">
        <v>663</v>
      </c>
      <c r="AC62" s="0" t="s">
        <v>109</v>
      </c>
    </row>
    <row r="63">
      <c r="A63" s="0" t="s">
        <v>28</v>
      </c>
      <c r="B63" s="0" t="s">
        <v>30</v>
      </c>
      <c r="C63" s="0" t="s">
        <v>149</v>
      </c>
      <c r="D63" s="0" t="s">
        <v>261</v>
      </c>
      <c r="E63" s="0" t="s">
        <v>229</v>
      </c>
      <c r="F63" s="0">
        <v>0</v>
      </c>
      <c r="G63" s="0" t="s">
        <v>106</v>
      </c>
      <c r="H63" s="0">
        <v>0</v>
      </c>
      <c r="I63" s="0">
        <v>0</v>
      </c>
      <c r="J63" s="0">
        <v>0</v>
      </c>
      <c r="K63" s="0">
        <v>0</v>
      </c>
      <c r="L63" s="0">
        <v>0</v>
      </c>
      <c r="M63" s="0">
        <v>0</v>
      </c>
      <c r="N63" s="0" t="b">
        <v>0</v>
      </c>
      <c r="O63" s="2">
        <v>44613.583333333336</v>
      </c>
      <c r="P63" s="2">
        <v>44613.625</v>
      </c>
      <c r="Q63" s="2">
        <v>44613.208333333336</v>
      </c>
      <c r="R63" s="2">
        <v>44613.25</v>
      </c>
      <c r="S63" s="0">
        <v>60</v>
      </c>
      <c r="T63" s="0">
        <v>12</v>
      </c>
      <c r="U63" s="0">
        <v>50</v>
      </c>
      <c r="V63" s="0">
        <v>1957</v>
      </c>
      <c r="W63" s="1">
        <f>=HYPERLINK("10.175.1.14\MWEB.12\SEP\EntityDetails.10.175.1.14.MWEB.12.-HealthMonit.1957.xlsx", "&lt;Detail&gt;")</f>
      </c>
      <c r="X63" s="1">
        <f>=HYPERLINK("10.175.1.14\MWEB.12\SEP\MetricGraphs.SEP.10.175.1.14.MWEB.12.xlsx", "&lt;Metrics&gt;")</f>
      </c>
      <c r="Y63" s="0" t="s">
        <v>107</v>
      </c>
      <c r="Z63" s="0" t="s">
        <v>108</v>
      </c>
      <c r="AA63" s="0" t="s">
        <v>150</v>
      </c>
      <c r="AB63" s="0" t="s">
        <v>664</v>
      </c>
      <c r="AC63" s="0" t="s">
        <v>109</v>
      </c>
    </row>
    <row r="64">
      <c r="A64" s="0" t="s">
        <v>28</v>
      </c>
      <c r="B64" s="0" t="s">
        <v>30</v>
      </c>
      <c r="C64" s="0" t="s">
        <v>153</v>
      </c>
      <c r="D64" s="0" t="s">
        <v>261</v>
      </c>
      <c r="E64" s="0" t="s">
        <v>229</v>
      </c>
      <c r="F64" s="0">
        <v>0</v>
      </c>
      <c r="G64" s="0" t="s">
        <v>106</v>
      </c>
      <c r="H64" s="0">
        <v>0</v>
      </c>
      <c r="I64" s="0">
        <v>0</v>
      </c>
      <c r="J64" s="0">
        <v>0</v>
      </c>
      <c r="K64" s="0">
        <v>0</v>
      </c>
      <c r="L64" s="0">
        <v>0</v>
      </c>
      <c r="M64" s="0">
        <v>0</v>
      </c>
      <c r="N64" s="0" t="b">
        <v>0</v>
      </c>
      <c r="O64" s="2">
        <v>44613.583333333336</v>
      </c>
      <c r="P64" s="2">
        <v>44613.625</v>
      </c>
      <c r="Q64" s="2">
        <v>44613.208333333336</v>
      </c>
      <c r="R64" s="2">
        <v>44613.25</v>
      </c>
      <c r="S64" s="0">
        <v>60</v>
      </c>
      <c r="T64" s="0">
        <v>12</v>
      </c>
      <c r="U64" s="0">
        <v>51</v>
      </c>
      <c r="V64" s="0">
        <v>1958</v>
      </c>
      <c r="W64" s="1">
        <f>=HYPERLINK("10.175.1.14\MWEB.12\SEP\EntityDetails.10.175.1.14.MWEB.12.-HealthMonit.1958.xlsx", "&lt;Detail&gt;")</f>
      </c>
      <c r="X64" s="1">
        <f>=HYPERLINK("10.175.1.14\MWEB.12\SEP\MetricGraphs.SEP.10.175.1.14.MWEB.12.xlsx", "&lt;Metrics&gt;")</f>
      </c>
      <c r="Y64" s="0" t="s">
        <v>107</v>
      </c>
      <c r="Z64" s="0" t="s">
        <v>108</v>
      </c>
      <c r="AA64" s="0" t="s">
        <v>154</v>
      </c>
      <c r="AB64" s="0" t="s">
        <v>665</v>
      </c>
      <c r="AC64" s="0" t="s">
        <v>109</v>
      </c>
    </row>
    <row r="65">
      <c r="A65" s="0" t="s">
        <v>28</v>
      </c>
      <c r="B65" s="0" t="s">
        <v>30</v>
      </c>
      <c r="C65" s="0" t="s">
        <v>155</v>
      </c>
      <c r="D65" s="0" t="s">
        <v>261</v>
      </c>
      <c r="E65" s="0" t="s">
        <v>229</v>
      </c>
      <c r="F65" s="0">
        <v>0</v>
      </c>
      <c r="G65" s="0" t="s">
        <v>106</v>
      </c>
      <c r="H65" s="0">
        <v>0</v>
      </c>
      <c r="I65" s="0">
        <v>0</v>
      </c>
      <c r="J65" s="0">
        <v>0</v>
      </c>
      <c r="K65" s="0">
        <v>0</v>
      </c>
      <c r="L65" s="0">
        <v>0</v>
      </c>
      <c r="M65" s="0">
        <v>0</v>
      </c>
      <c r="N65" s="0" t="b">
        <v>0</v>
      </c>
      <c r="O65" s="2">
        <v>44613.583333333336</v>
      </c>
      <c r="P65" s="2">
        <v>44613.625</v>
      </c>
      <c r="Q65" s="2">
        <v>44613.208333333336</v>
      </c>
      <c r="R65" s="2">
        <v>44613.25</v>
      </c>
      <c r="S65" s="0">
        <v>60</v>
      </c>
      <c r="T65" s="0">
        <v>12</v>
      </c>
      <c r="U65" s="0">
        <v>54</v>
      </c>
      <c r="V65" s="0">
        <v>2066</v>
      </c>
      <c r="W65" s="1">
        <f>=HYPERLINK("10.175.1.14\MWEB.12\SEP\EntityDetails.10.175.1.14.MWEB.12.-HealthMonit.2066.xlsx", "&lt;Detail&gt;")</f>
      </c>
      <c r="X65" s="1">
        <f>=HYPERLINK("10.175.1.14\MWEB.12\SEP\MetricGraphs.SEP.10.175.1.14.MWEB.12.xlsx", "&lt;Metrics&gt;")</f>
      </c>
      <c r="Y65" s="0" t="s">
        <v>107</v>
      </c>
      <c r="Z65" s="0" t="s">
        <v>108</v>
      </c>
      <c r="AA65" s="0" t="s">
        <v>156</v>
      </c>
      <c r="AB65" s="0" t="s">
        <v>666</v>
      </c>
      <c r="AC65" s="0" t="s">
        <v>109</v>
      </c>
    </row>
    <row r="66">
      <c r="A66" s="0" t="s">
        <v>28</v>
      </c>
      <c r="B66" s="0" t="s">
        <v>30</v>
      </c>
      <c r="C66" s="0" t="s">
        <v>157</v>
      </c>
      <c r="D66" s="0" t="s">
        <v>261</v>
      </c>
      <c r="E66" s="0" t="s">
        <v>229</v>
      </c>
      <c r="F66" s="0">
        <v>0</v>
      </c>
      <c r="G66" s="0" t="s">
        <v>106</v>
      </c>
      <c r="H66" s="0">
        <v>0</v>
      </c>
      <c r="I66" s="0">
        <v>0</v>
      </c>
      <c r="J66" s="0">
        <v>0</v>
      </c>
      <c r="K66" s="0">
        <v>0</v>
      </c>
      <c r="L66" s="0">
        <v>0</v>
      </c>
      <c r="M66" s="0">
        <v>0</v>
      </c>
      <c r="N66" s="0" t="b">
        <v>0</v>
      </c>
      <c r="O66" s="2">
        <v>44613.583333333336</v>
      </c>
      <c r="P66" s="2">
        <v>44613.625</v>
      </c>
      <c r="Q66" s="2">
        <v>44613.208333333336</v>
      </c>
      <c r="R66" s="2">
        <v>44613.25</v>
      </c>
      <c r="S66" s="0">
        <v>60</v>
      </c>
      <c r="T66" s="0">
        <v>12</v>
      </c>
      <c r="U66" s="0">
        <v>53</v>
      </c>
      <c r="V66" s="0">
        <v>1962</v>
      </c>
      <c r="W66" s="1">
        <f>=HYPERLINK("10.175.1.14\MWEB.12\SEP\EntityDetails.10.175.1.14.MWEB.12.-HealthMonit.1962.xlsx", "&lt;Detail&gt;")</f>
      </c>
      <c r="X66" s="1">
        <f>=HYPERLINK("10.175.1.14\MWEB.12\SEP\MetricGraphs.SEP.10.175.1.14.MWEB.12.xlsx", "&lt;Metrics&gt;")</f>
      </c>
      <c r="Y66" s="0" t="s">
        <v>107</v>
      </c>
      <c r="Z66" s="0" t="s">
        <v>108</v>
      </c>
      <c r="AA66" s="0" t="s">
        <v>158</v>
      </c>
      <c r="AB66" s="0" t="s">
        <v>667</v>
      </c>
      <c r="AC66" s="0" t="s">
        <v>109</v>
      </c>
    </row>
    <row r="67">
      <c r="A67" s="0" t="s">
        <v>28</v>
      </c>
      <c r="B67" s="0" t="s">
        <v>30</v>
      </c>
      <c r="C67" s="0" t="s">
        <v>159</v>
      </c>
      <c r="D67" s="0" t="s">
        <v>261</v>
      </c>
      <c r="E67" s="0" t="s">
        <v>229</v>
      </c>
      <c r="F67" s="0">
        <v>0</v>
      </c>
      <c r="G67" s="0" t="s">
        <v>106</v>
      </c>
      <c r="H67" s="0">
        <v>0</v>
      </c>
      <c r="I67" s="0">
        <v>0</v>
      </c>
      <c r="J67" s="0">
        <v>0</v>
      </c>
      <c r="K67" s="0">
        <v>0</v>
      </c>
      <c r="L67" s="0">
        <v>0</v>
      </c>
      <c r="M67" s="0">
        <v>0</v>
      </c>
      <c r="N67" s="0" t="b">
        <v>0</v>
      </c>
      <c r="O67" s="2">
        <v>44613.583333333336</v>
      </c>
      <c r="P67" s="2">
        <v>44613.625</v>
      </c>
      <c r="Q67" s="2">
        <v>44613.208333333336</v>
      </c>
      <c r="R67" s="2">
        <v>44613.25</v>
      </c>
      <c r="S67" s="0">
        <v>60</v>
      </c>
      <c r="T67" s="0">
        <v>12</v>
      </c>
      <c r="U67" s="0">
        <v>56</v>
      </c>
      <c r="V67" s="0">
        <v>2059</v>
      </c>
      <c r="W67" s="1">
        <f>=HYPERLINK("10.175.1.14\MWEB.12\SEP\EntityDetails.10.175.1.14.MWEB.12.-HealthMonit.2059.xlsx", "&lt;Detail&gt;")</f>
      </c>
      <c r="X67" s="1">
        <f>=HYPERLINK("10.175.1.14\MWEB.12\SEP\MetricGraphs.SEP.10.175.1.14.MWEB.12.xlsx", "&lt;Metrics&gt;")</f>
      </c>
      <c r="Y67" s="0" t="s">
        <v>107</v>
      </c>
      <c r="Z67" s="0" t="s">
        <v>108</v>
      </c>
      <c r="AA67" s="0" t="s">
        <v>160</v>
      </c>
      <c r="AB67" s="0" t="s">
        <v>668</v>
      </c>
      <c r="AC67" s="0" t="s">
        <v>109</v>
      </c>
    </row>
    <row r="68">
      <c r="A68" s="0" t="s">
        <v>28</v>
      </c>
      <c r="B68" s="0" t="s">
        <v>30</v>
      </c>
      <c r="C68" s="0" t="s">
        <v>127</v>
      </c>
      <c r="D68" s="0" t="s">
        <v>669</v>
      </c>
      <c r="E68" s="0" t="s">
        <v>229</v>
      </c>
      <c r="F68" s="0">
        <v>0</v>
      </c>
      <c r="G68" s="0" t="s">
        <v>106</v>
      </c>
      <c r="H68" s="0">
        <v>0</v>
      </c>
      <c r="I68" s="0">
        <v>0</v>
      </c>
      <c r="J68" s="0">
        <v>0</v>
      </c>
      <c r="K68" s="0">
        <v>0</v>
      </c>
      <c r="L68" s="0">
        <v>0</v>
      </c>
      <c r="M68" s="0">
        <v>0</v>
      </c>
      <c r="N68" s="0" t="b">
        <v>0</v>
      </c>
      <c r="O68" s="2">
        <v>44613.583333333336</v>
      </c>
      <c r="P68" s="2">
        <v>44613.625</v>
      </c>
      <c r="Q68" s="2">
        <v>44613.208333333336</v>
      </c>
      <c r="R68" s="2">
        <v>44613.25</v>
      </c>
      <c r="S68" s="0">
        <v>60</v>
      </c>
      <c r="T68" s="0">
        <v>12</v>
      </c>
      <c r="U68" s="0">
        <v>39</v>
      </c>
      <c r="V68" s="0">
        <v>1213</v>
      </c>
      <c r="W68" s="1">
        <f>=HYPERLINK("10.175.1.14\MWEB.12\SEP\EntityDetails.10.175.1.14.MWEB.12.-IDMProv-jsp.1213.xlsx", "&lt;Detail&gt;")</f>
      </c>
      <c r="X68" s="1">
        <f>=HYPERLINK("10.175.1.14\MWEB.12\SEP\MetricGraphs.SEP.10.175.1.14.MWEB.12.xlsx", "&lt;Metrics&gt;")</f>
      </c>
      <c r="Y68" s="0" t="s">
        <v>107</v>
      </c>
      <c r="Z68" s="0" t="s">
        <v>108</v>
      </c>
      <c r="AA68" s="0" t="s">
        <v>128</v>
      </c>
      <c r="AB68" s="0" t="s">
        <v>670</v>
      </c>
      <c r="AC68" s="0" t="s">
        <v>109</v>
      </c>
    </row>
    <row r="69">
      <c r="A69" s="0" t="s">
        <v>28</v>
      </c>
      <c r="B69" s="0" t="s">
        <v>30</v>
      </c>
      <c r="C69" s="0" t="s">
        <v>125</v>
      </c>
      <c r="D69" s="0" t="s">
        <v>671</v>
      </c>
      <c r="E69" s="0" t="s">
        <v>229</v>
      </c>
      <c r="F69" s="0">
        <v>0</v>
      </c>
      <c r="G69" s="0" t="s">
        <v>106</v>
      </c>
      <c r="H69" s="0">
        <v>0</v>
      </c>
      <c r="I69" s="0">
        <v>0</v>
      </c>
      <c r="J69" s="0">
        <v>0</v>
      </c>
      <c r="K69" s="0">
        <v>0</v>
      </c>
      <c r="L69" s="0">
        <v>0</v>
      </c>
      <c r="M69" s="0">
        <v>0</v>
      </c>
      <c r="N69" s="0" t="b">
        <v>0</v>
      </c>
      <c r="O69" s="2">
        <v>44613.583333333336</v>
      </c>
      <c r="P69" s="2">
        <v>44613.625</v>
      </c>
      <c r="Q69" s="2">
        <v>44613.208333333336</v>
      </c>
      <c r="R69" s="2">
        <v>44613.25</v>
      </c>
      <c r="S69" s="0">
        <v>60</v>
      </c>
      <c r="T69" s="0">
        <v>12</v>
      </c>
      <c r="U69" s="0">
        <v>42</v>
      </c>
      <c r="V69" s="0">
        <v>334</v>
      </c>
      <c r="W69" s="1">
        <f>=HYPERLINK("10.175.1.14\MWEB.12\SEP\EntityDetails.10.175.1.14.MWEB.12.-if-CGI_get_.334.xlsx", "&lt;Detail&gt;")</f>
      </c>
      <c r="X69" s="1">
        <f>=HYPERLINK("10.175.1.14\MWEB.12\SEP\MetricGraphs.SEP.10.175.1.14.MWEB.12.xlsx", "&lt;Metrics&gt;")</f>
      </c>
      <c r="Y69" s="0" t="s">
        <v>107</v>
      </c>
      <c r="Z69" s="0" t="s">
        <v>108</v>
      </c>
      <c r="AA69" s="0" t="s">
        <v>126</v>
      </c>
      <c r="AB69" s="0" t="s">
        <v>672</v>
      </c>
      <c r="AC69" s="0" t="s">
        <v>109</v>
      </c>
    </row>
    <row r="70">
      <c r="A70" s="0" t="s">
        <v>28</v>
      </c>
      <c r="B70" s="0" t="s">
        <v>30</v>
      </c>
      <c r="C70" s="0" t="s">
        <v>133</v>
      </c>
      <c r="D70" s="0" t="s">
        <v>671</v>
      </c>
      <c r="E70" s="0" t="s">
        <v>229</v>
      </c>
      <c r="F70" s="0">
        <v>0</v>
      </c>
      <c r="G70" s="0" t="s">
        <v>106</v>
      </c>
      <c r="H70" s="0">
        <v>0</v>
      </c>
      <c r="I70" s="0">
        <v>0</v>
      </c>
      <c r="J70" s="0">
        <v>0</v>
      </c>
      <c r="K70" s="0">
        <v>0</v>
      </c>
      <c r="L70" s="0">
        <v>0</v>
      </c>
      <c r="M70" s="0">
        <v>0</v>
      </c>
      <c r="N70" s="0" t="b">
        <v>0</v>
      </c>
      <c r="O70" s="2">
        <v>44613.583333333336</v>
      </c>
      <c r="P70" s="2">
        <v>44613.625</v>
      </c>
      <c r="Q70" s="2">
        <v>44613.208333333336</v>
      </c>
      <c r="R70" s="2">
        <v>44613.25</v>
      </c>
      <c r="S70" s="0">
        <v>60</v>
      </c>
      <c r="T70" s="0">
        <v>12</v>
      </c>
      <c r="U70" s="0">
        <v>36</v>
      </c>
      <c r="V70" s="0">
        <v>421</v>
      </c>
      <c r="W70" s="1">
        <f>=HYPERLINK("10.175.1.14\MWEB.12\SEP\EntityDetails.10.175.1.14.MWEB.12.-if-CGI_get_.421.xlsx", "&lt;Detail&gt;")</f>
      </c>
      <c r="X70" s="1">
        <f>=HYPERLINK("10.175.1.14\MWEB.12\SEP\MetricGraphs.SEP.10.175.1.14.MWEB.12.xlsx", "&lt;Metrics&gt;")</f>
      </c>
      <c r="Y70" s="0" t="s">
        <v>107</v>
      </c>
      <c r="Z70" s="0" t="s">
        <v>108</v>
      </c>
      <c r="AA70" s="0" t="s">
        <v>134</v>
      </c>
      <c r="AB70" s="0" t="s">
        <v>673</v>
      </c>
      <c r="AC70" s="0" t="s">
        <v>109</v>
      </c>
    </row>
    <row r="71">
      <c r="A71" s="0" t="s">
        <v>28</v>
      </c>
      <c r="B71" s="0" t="s">
        <v>30</v>
      </c>
      <c r="C71" s="0" t="s">
        <v>133</v>
      </c>
      <c r="D71" s="0" t="s">
        <v>674</v>
      </c>
      <c r="E71" s="0" t="s">
        <v>229</v>
      </c>
      <c r="F71" s="0">
        <v>0</v>
      </c>
      <c r="G71" s="0" t="s">
        <v>106</v>
      </c>
      <c r="H71" s="0">
        <v>0</v>
      </c>
      <c r="I71" s="0">
        <v>0</v>
      </c>
      <c r="J71" s="0">
        <v>0</v>
      </c>
      <c r="K71" s="0">
        <v>0</v>
      </c>
      <c r="L71" s="0">
        <v>0</v>
      </c>
      <c r="M71" s="0">
        <v>0</v>
      </c>
      <c r="N71" s="0" t="b">
        <v>0</v>
      </c>
      <c r="O71" s="2">
        <v>44613.583333333336</v>
      </c>
      <c r="P71" s="2">
        <v>44613.625</v>
      </c>
      <c r="Q71" s="2">
        <v>44613.208333333336</v>
      </c>
      <c r="R71" s="2">
        <v>44613.25</v>
      </c>
      <c r="S71" s="0">
        <v>60</v>
      </c>
      <c r="T71" s="0">
        <v>12</v>
      </c>
      <c r="U71" s="0">
        <v>36</v>
      </c>
      <c r="V71" s="0">
        <v>1248</v>
      </c>
      <c r="W71" s="1">
        <f>=HYPERLINK("10.175.1.14\MWEB.12\SEP\EntityDetails.10.175.1.14.MWEB.12.-imcws-axis2.1248.xlsx", "&lt;Detail&gt;")</f>
      </c>
      <c r="X71" s="1">
        <f>=HYPERLINK("10.175.1.14\MWEB.12\SEP\MetricGraphs.SEP.10.175.1.14.MWEB.12.xlsx", "&lt;Metrics&gt;")</f>
      </c>
      <c r="Y71" s="0" t="s">
        <v>107</v>
      </c>
      <c r="Z71" s="0" t="s">
        <v>108</v>
      </c>
      <c r="AA71" s="0" t="s">
        <v>134</v>
      </c>
      <c r="AB71" s="0" t="s">
        <v>675</v>
      </c>
      <c r="AC71" s="0" t="s">
        <v>109</v>
      </c>
    </row>
    <row r="72">
      <c r="A72" s="0" t="s">
        <v>28</v>
      </c>
      <c r="B72" s="0" t="s">
        <v>30</v>
      </c>
      <c r="C72" s="0" t="s">
        <v>149</v>
      </c>
      <c r="D72" s="0" t="s">
        <v>676</v>
      </c>
      <c r="E72" s="0" t="s">
        <v>229</v>
      </c>
      <c r="F72" s="0">
        <v>0</v>
      </c>
      <c r="G72" s="0" t="s">
        <v>106</v>
      </c>
      <c r="H72" s="0">
        <v>0</v>
      </c>
      <c r="I72" s="0">
        <v>0</v>
      </c>
      <c r="J72" s="0">
        <v>0</v>
      </c>
      <c r="K72" s="0">
        <v>0</v>
      </c>
      <c r="L72" s="0">
        <v>0</v>
      </c>
      <c r="M72" s="0">
        <v>0</v>
      </c>
      <c r="N72" s="0" t="b">
        <v>0</v>
      </c>
      <c r="O72" s="2">
        <v>44613.583333333336</v>
      </c>
      <c r="P72" s="2">
        <v>44613.625</v>
      </c>
      <c r="Q72" s="2">
        <v>44613.208333333336</v>
      </c>
      <c r="R72" s="2">
        <v>44613.25</v>
      </c>
      <c r="S72" s="0">
        <v>60</v>
      </c>
      <c r="T72" s="0">
        <v>12</v>
      </c>
      <c r="U72" s="0">
        <v>50</v>
      </c>
      <c r="V72" s="0">
        <v>2529</v>
      </c>
      <c r="W72" s="1">
        <f>=HYPERLINK("10.175.1.14\MWEB.12\SEP\EntityDetails.10.175.1.14.MWEB.12.-include-.2529.xlsx", "&lt;Detail&gt;")</f>
      </c>
      <c r="X72" s="1">
        <f>=HYPERLINK("10.175.1.14\MWEB.12\SEP\MetricGraphs.SEP.10.175.1.14.MWEB.12.xlsx", "&lt;Metrics&gt;")</f>
      </c>
      <c r="Y72" s="0" t="s">
        <v>107</v>
      </c>
      <c r="Z72" s="0" t="s">
        <v>108</v>
      </c>
      <c r="AA72" s="0" t="s">
        <v>150</v>
      </c>
      <c r="AB72" s="0" t="s">
        <v>677</v>
      </c>
      <c r="AC72" s="0" t="s">
        <v>109</v>
      </c>
    </row>
    <row r="73">
      <c r="A73" s="0" t="s">
        <v>28</v>
      </c>
      <c r="B73" s="0" t="s">
        <v>30</v>
      </c>
      <c r="C73" s="0" t="s">
        <v>153</v>
      </c>
      <c r="D73" s="0" t="s">
        <v>676</v>
      </c>
      <c r="E73" s="0" t="s">
        <v>229</v>
      </c>
      <c r="F73" s="0">
        <v>0</v>
      </c>
      <c r="G73" s="0" t="s">
        <v>106</v>
      </c>
      <c r="H73" s="0">
        <v>0</v>
      </c>
      <c r="I73" s="0">
        <v>0</v>
      </c>
      <c r="J73" s="0">
        <v>0</v>
      </c>
      <c r="K73" s="0">
        <v>0</v>
      </c>
      <c r="L73" s="0">
        <v>0</v>
      </c>
      <c r="M73" s="0">
        <v>0</v>
      </c>
      <c r="N73" s="0" t="b">
        <v>0</v>
      </c>
      <c r="O73" s="2">
        <v>44613.583333333336</v>
      </c>
      <c r="P73" s="2">
        <v>44613.625</v>
      </c>
      <c r="Q73" s="2">
        <v>44613.208333333336</v>
      </c>
      <c r="R73" s="2">
        <v>44613.25</v>
      </c>
      <c r="S73" s="0">
        <v>60</v>
      </c>
      <c r="T73" s="0">
        <v>12</v>
      </c>
      <c r="U73" s="0">
        <v>51</v>
      </c>
      <c r="V73" s="0">
        <v>2534</v>
      </c>
      <c r="W73" s="1">
        <f>=HYPERLINK("10.175.1.14\MWEB.12\SEP\EntityDetails.10.175.1.14.MWEB.12.-include-.2534.xlsx", "&lt;Detail&gt;")</f>
      </c>
      <c r="X73" s="1">
        <f>=HYPERLINK("10.175.1.14\MWEB.12\SEP\MetricGraphs.SEP.10.175.1.14.MWEB.12.xlsx", "&lt;Metrics&gt;")</f>
      </c>
      <c r="Y73" s="0" t="s">
        <v>107</v>
      </c>
      <c r="Z73" s="0" t="s">
        <v>108</v>
      </c>
      <c r="AA73" s="0" t="s">
        <v>154</v>
      </c>
      <c r="AB73" s="0" t="s">
        <v>678</v>
      </c>
      <c r="AC73" s="0" t="s">
        <v>109</v>
      </c>
    </row>
    <row r="74">
      <c r="A74" s="0" t="s">
        <v>28</v>
      </c>
      <c r="B74" s="0" t="s">
        <v>30</v>
      </c>
      <c r="C74" s="0" t="s">
        <v>147</v>
      </c>
      <c r="D74" s="0" t="s">
        <v>679</v>
      </c>
      <c r="E74" s="0" t="s">
        <v>229</v>
      </c>
      <c r="F74" s="0">
        <v>0</v>
      </c>
      <c r="G74" s="0" t="s">
        <v>106</v>
      </c>
      <c r="H74" s="0">
        <v>0</v>
      </c>
      <c r="I74" s="0">
        <v>0</v>
      </c>
      <c r="J74" s="0">
        <v>0</v>
      </c>
      <c r="K74" s="0">
        <v>0</v>
      </c>
      <c r="L74" s="0">
        <v>0</v>
      </c>
      <c r="M74" s="0">
        <v>0</v>
      </c>
      <c r="N74" s="0" t="b">
        <v>0</v>
      </c>
      <c r="O74" s="2">
        <v>44613.583333333336</v>
      </c>
      <c r="P74" s="2">
        <v>44613.625</v>
      </c>
      <c r="Q74" s="2">
        <v>44613.208333333336</v>
      </c>
      <c r="R74" s="2">
        <v>44613.25</v>
      </c>
      <c r="S74" s="0">
        <v>60</v>
      </c>
      <c r="T74" s="0">
        <v>12</v>
      </c>
      <c r="U74" s="0">
        <v>49</v>
      </c>
      <c r="V74" s="0">
        <v>2411</v>
      </c>
      <c r="W74" s="1">
        <f>=HYPERLINK("10.175.1.14\MWEB.12\SEP\EntityDetails.10.175.1.14.MWEB.12.-include-ine.2411.xlsx", "&lt;Detail&gt;")</f>
      </c>
      <c r="X74" s="1">
        <f>=HYPERLINK("10.175.1.14\MWEB.12\SEP\MetricGraphs.SEP.10.175.1.14.MWEB.12.xlsx", "&lt;Metrics&gt;")</f>
      </c>
      <c r="Y74" s="0" t="s">
        <v>107</v>
      </c>
      <c r="Z74" s="0" t="s">
        <v>108</v>
      </c>
      <c r="AA74" s="0" t="s">
        <v>148</v>
      </c>
      <c r="AB74" s="0" t="s">
        <v>680</v>
      </c>
      <c r="AC74" s="0" t="s">
        <v>109</v>
      </c>
    </row>
    <row r="75">
      <c r="A75" s="0" t="s">
        <v>28</v>
      </c>
      <c r="B75" s="0" t="s">
        <v>30</v>
      </c>
      <c r="C75" s="0" t="s">
        <v>125</v>
      </c>
      <c r="D75" s="0" t="s">
        <v>681</v>
      </c>
      <c r="E75" s="0" t="s">
        <v>229</v>
      </c>
      <c r="F75" s="0">
        <v>0</v>
      </c>
      <c r="G75" s="0" t="s">
        <v>106</v>
      </c>
      <c r="H75" s="0">
        <v>0</v>
      </c>
      <c r="I75" s="0">
        <v>0</v>
      </c>
      <c r="J75" s="0">
        <v>0</v>
      </c>
      <c r="K75" s="0">
        <v>0</v>
      </c>
      <c r="L75" s="0">
        <v>0</v>
      </c>
      <c r="M75" s="0">
        <v>0</v>
      </c>
      <c r="N75" s="0" t="b">
        <v>0</v>
      </c>
      <c r="O75" s="2">
        <v>44613.583333333336</v>
      </c>
      <c r="P75" s="2">
        <v>44613.625</v>
      </c>
      <c r="Q75" s="2">
        <v>44613.208333333336</v>
      </c>
      <c r="R75" s="2">
        <v>44613.25</v>
      </c>
      <c r="S75" s="0">
        <v>60</v>
      </c>
      <c r="T75" s="0">
        <v>12</v>
      </c>
      <c r="U75" s="0">
        <v>42</v>
      </c>
      <c r="V75" s="0">
        <v>1187</v>
      </c>
      <c r="W75" s="1">
        <f>=HYPERLINK("10.175.1.14\MWEB.12\SEP\EntityDetails.10.175.1.14.MWEB.12.-index.jsp.1187.xlsx", "&lt;Detail&gt;")</f>
      </c>
      <c r="X75" s="1">
        <f>=HYPERLINK("10.175.1.14\MWEB.12\SEP\MetricGraphs.SEP.10.175.1.14.MWEB.12.xlsx", "&lt;Metrics&gt;")</f>
      </c>
      <c r="Y75" s="0" t="s">
        <v>107</v>
      </c>
      <c r="Z75" s="0" t="s">
        <v>108</v>
      </c>
      <c r="AA75" s="0" t="s">
        <v>126</v>
      </c>
      <c r="AB75" s="0" t="s">
        <v>682</v>
      </c>
      <c r="AC75" s="0" t="s">
        <v>109</v>
      </c>
    </row>
    <row r="76">
      <c r="A76" s="0" t="s">
        <v>28</v>
      </c>
      <c r="B76" s="0" t="s">
        <v>30</v>
      </c>
      <c r="C76" s="0" t="s">
        <v>127</v>
      </c>
      <c r="D76" s="0" t="s">
        <v>681</v>
      </c>
      <c r="E76" s="0" t="s">
        <v>229</v>
      </c>
      <c r="F76" s="0">
        <v>0</v>
      </c>
      <c r="G76" s="0" t="s">
        <v>106</v>
      </c>
      <c r="H76" s="0">
        <v>0</v>
      </c>
      <c r="I76" s="0">
        <v>0</v>
      </c>
      <c r="J76" s="0">
        <v>0</v>
      </c>
      <c r="K76" s="0">
        <v>0</v>
      </c>
      <c r="L76" s="0">
        <v>0</v>
      </c>
      <c r="M76" s="0">
        <v>0</v>
      </c>
      <c r="N76" s="0" t="b">
        <v>0</v>
      </c>
      <c r="O76" s="2">
        <v>44613.583333333336</v>
      </c>
      <c r="P76" s="2">
        <v>44613.625</v>
      </c>
      <c r="Q76" s="2">
        <v>44613.208333333336</v>
      </c>
      <c r="R76" s="2">
        <v>44613.25</v>
      </c>
      <c r="S76" s="0">
        <v>60</v>
      </c>
      <c r="T76" s="0">
        <v>12</v>
      </c>
      <c r="U76" s="0">
        <v>39</v>
      </c>
      <c r="V76" s="0">
        <v>1201</v>
      </c>
      <c r="W76" s="1">
        <f>=HYPERLINK("10.175.1.14\MWEB.12\SEP\EntityDetails.10.175.1.14.MWEB.12.-index.jsp.1201.xlsx", "&lt;Detail&gt;")</f>
      </c>
      <c r="X76" s="1">
        <f>=HYPERLINK("10.175.1.14\MWEB.12\SEP\MetricGraphs.SEP.10.175.1.14.MWEB.12.xlsx", "&lt;Metrics&gt;")</f>
      </c>
      <c r="Y76" s="0" t="s">
        <v>107</v>
      </c>
      <c r="Z76" s="0" t="s">
        <v>108</v>
      </c>
      <c r="AA76" s="0" t="s">
        <v>128</v>
      </c>
      <c r="AB76" s="0" t="s">
        <v>683</v>
      </c>
      <c r="AC76" s="0" t="s">
        <v>109</v>
      </c>
    </row>
    <row r="77">
      <c r="A77" s="0" t="s">
        <v>28</v>
      </c>
      <c r="B77" s="0" t="s">
        <v>30</v>
      </c>
      <c r="C77" s="0" t="s">
        <v>133</v>
      </c>
      <c r="D77" s="0" t="s">
        <v>681</v>
      </c>
      <c r="E77" s="0" t="s">
        <v>229</v>
      </c>
      <c r="F77" s="0">
        <v>0</v>
      </c>
      <c r="G77" s="0" t="s">
        <v>106</v>
      </c>
      <c r="H77" s="0">
        <v>0</v>
      </c>
      <c r="I77" s="0">
        <v>0</v>
      </c>
      <c r="J77" s="0">
        <v>0</v>
      </c>
      <c r="K77" s="0">
        <v>0</v>
      </c>
      <c r="L77" s="0">
        <v>0</v>
      </c>
      <c r="M77" s="0">
        <v>0</v>
      </c>
      <c r="N77" s="0" t="b">
        <v>0</v>
      </c>
      <c r="O77" s="2">
        <v>44613.583333333336</v>
      </c>
      <c r="P77" s="2">
        <v>44613.625</v>
      </c>
      <c r="Q77" s="2">
        <v>44613.208333333336</v>
      </c>
      <c r="R77" s="2">
        <v>44613.25</v>
      </c>
      <c r="S77" s="0">
        <v>60</v>
      </c>
      <c r="T77" s="0">
        <v>12</v>
      </c>
      <c r="U77" s="0">
        <v>36</v>
      </c>
      <c r="V77" s="0">
        <v>1229</v>
      </c>
      <c r="W77" s="1">
        <f>=HYPERLINK("10.175.1.14\MWEB.12\SEP\EntityDetails.10.175.1.14.MWEB.12.-index.jsp.1229.xlsx", "&lt;Detail&gt;")</f>
      </c>
      <c r="X77" s="1">
        <f>=HYPERLINK("10.175.1.14\MWEB.12\SEP\MetricGraphs.SEP.10.175.1.14.MWEB.12.xlsx", "&lt;Metrics&gt;")</f>
      </c>
      <c r="Y77" s="0" t="s">
        <v>107</v>
      </c>
      <c r="Z77" s="0" t="s">
        <v>108</v>
      </c>
      <c r="AA77" s="0" t="s">
        <v>134</v>
      </c>
      <c r="AB77" s="0" t="s">
        <v>684</v>
      </c>
      <c r="AC77" s="0" t="s">
        <v>109</v>
      </c>
    </row>
    <row r="78">
      <c r="A78" s="0" t="s">
        <v>28</v>
      </c>
      <c r="B78" s="0" t="s">
        <v>30</v>
      </c>
      <c r="C78" s="0" t="s">
        <v>149</v>
      </c>
      <c r="D78" s="0" t="s">
        <v>685</v>
      </c>
      <c r="E78" s="0" t="s">
        <v>229</v>
      </c>
      <c r="F78" s="0">
        <v>0</v>
      </c>
      <c r="G78" s="0" t="s">
        <v>106</v>
      </c>
      <c r="H78" s="0">
        <v>0</v>
      </c>
      <c r="I78" s="0">
        <v>0</v>
      </c>
      <c r="J78" s="0">
        <v>0</v>
      </c>
      <c r="K78" s="0">
        <v>0</v>
      </c>
      <c r="L78" s="0">
        <v>0</v>
      </c>
      <c r="M78" s="0">
        <v>0</v>
      </c>
      <c r="N78" s="0" t="b">
        <v>0</v>
      </c>
      <c r="O78" s="2">
        <v>44613.583333333336</v>
      </c>
      <c r="P78" s="2">
        <v>44613.625</v>
      </c>
      <c r="Q78" s="2">
        <v>44613.208333333336</v>
      </c>
      <c r="R78" s="2">
        <v>44613.25</v>
      </c>
      <c r="S78" s="0">
        <v>60</v>
      </c>
      <c r="T78" s="0">
        <v>12</v>
      </c>
      <c r="U78" s="0">
        <v>50</v>
      </c>
      <c r="V78" s="0">
        <v>2527</v>
      </c>
      <c r="W78" s="1">
        <f>=HYPERLINK("10.175.1.14\MWEB.12\SEP\EntityDetails.10.175.1.14.MWEB.12.-inet-.2527.xlsx", "&lt;Detail&gt;")</f>
      </c>
      <c r="X78" s="1">
        <f>=HYPERLINK("10.175.1.14\MWEB.12\SEP\MetricGraphs.SEP.10.175.1.14.MWEB.12.xlsx", "&lt;Metrics&gt;")</f>
      </c>
      <c r="Y78" s="0" t="s">
        <v>107</v>
      </c>
      <c r="Z78" s="0" t="s">
        <v>108</v>
      </c>
      <c r="AA78" s="0" t="s">
        <v>150</v>
      </c>
      <c r="AB78" s="0" t="s">
        <v>686</v>
      </c>
      <c r="AC78" s="0" t="s">
        <v>109</v>
      </c>
    </row>
    <row r="79">
      <c r="A79" s="0" t="s">
        <v>28</v>
      </c>
      <c r="B79" s="0" t="s">
        <v>30</v>
      </c>
      <c r="C79" s="0" t="s">
        <v>125</v>
      </c>
      <c r="D79" s="0" t="s">
        <v>279</v>
      </c>
      <c r="E79" s="0" t="s">
        <v>229</v>
      </c>
      <c r="F79" s="0">
        <v>0</v>
      </c>
      <c r="G79" s="0" t="s">
        <v>106</v>
      </c>
      <c r="H79" s="0">
        <v>0</v>
      </c>
      <c r="I79" s="0">
        <v>0</v>
      </c>
      <c r="J79" s="0">
        <v>0</v>
      </c>
      <c r="K79" s="0">
        <v>0</v>
      </c>
      <c r="L79" s="0">
        <v>0</v>
      </c>
      <c r="M79" s="0">
        <v>0</v>
      </c>
      <c r="N79" s="0" t="b">
        <v>0</v>
      </c>
      <c r="O79" s="2">
        <v>44613.583333333336</v>
      </c>
      <c r="P79" s="2">
        <v>44613.625</v>
      </c>
      <c r="Q79" s="2">
        <v>44613.208333333336</v>
      </c>
      <c r="R79" s="2">
        <v>44613.25</v>
      </c>
      <c r="S79" s="0">
        <v>60</v>
      </c>
      <c r="T79" s="0">
        <v>12</v>
      </c>
      <c r="U79" s="0">
        <v>42</v>
      </c>
      <c r="V79" s="0">
        <v>195</v>
      </c>
      <c r="W79" s="1">
        <f>=HYPERLINK("10.175.1.14\MWEB.12\SEP\EntityDetails.10.175.1.14.MWEB.12.-inet-affili.195.xlsx", "&lt;Detail&gt;")</f>
      </c>
      <c r="X79" s="1">
        <f>=HYPERLINK("10.175.1.14\MWEB.12\SEP\MetricGraphs.SEP.10.175.1.14.MWEB.12.xlsx", "&lt;Metrics&gt;")</f>
      </c>
      <c r="Y79" s="0" t="s">
        <v>107</v>
      </c>
      <c r="Z79" s="0" t="s">
        <v>108</v>
      </c>
      <c r="AA79" s="0" t="s">
        <v>126</v>
      </c>
      <c r="AB79" s="0" t="s">
        <v>687</v>
      </c>
      <c r="AC79" s="0" t="s">
        <v>109</v>
      </c>
    </row>
    <row r="80">
      <c r="A80" s="0" t="s">
        <v>28</v>
      </c>
      <c r="B80" s="0" t="s">
        <v>30</v>
      </c>
      <c r="C80" s="0" t="s">
        <v>125</v>
      </c>
      <c r="D80" s="0" t="s">
        <v>281</v>
      </c>
      <c r="E80" s="0" t="s">
        <v>229</v>
      </c>
      <c r="F80" s="0">
        <v>0</v>
      </c>
      <c r="G80" s="0" t="s">
        <v>106</v>
      </c>
      <c r="H80" s="0">
        <v>0</v>
      </c>
      <c r="I80" s="0">
        <v>0</v>
      </c>
      <c r="J80" s="0">
        <v>0</v>
      </c>
      <c r="K80" s="0">
        <v>0</v>
      </c>
      <c r="L80" s="0">
        <v>0</v>
      </c>
      <c r="M80" s="0">
        <v>0</v>
      </c>
      <c r="N80" s="0" t="b">
        <v>0</v>
      </c>
      <c r="O80" s="2">
        <v>44613.583333333336</v>
      </c>
      <c r="P80" s="2">
        <v>44613.625</v>
      </c>
      <c r="Q80" s="2">
        <v>44613.208333333336</v>
      </c>
      <c r="R80" s="2">
        <v>44613.25</v>
      </c>
      <c r="S80" s="0">
        <v>60</v>
      </c>
      <c r="T80" s="0">
        <v>12</v>
      </c>
      <c r="U80" s="0">
        <v>42</v>
      </c>
      <c r="V80" s="0">
        <v>224</v>
      </c>
      <c r="W80" s="1">
        <f>=HYPERLINK("10.175.1.14\MWEB.12\SEP\EntityDetails.10.175.1.14.MWEB.12.-inet-announ.224.xlsx", "&lt;Detail&gt;")</f>
      </c>
      <c r="X80" s="1">
        <f>=HYPERLINK("10.175.1.14\MWEB.12\SEP\MetricGraphs.SEP.10.175.1.14.MWEB.12.xlsx", "&lt;Metrics&gt;")</f>
      </c>
      <c r="Y80" s="0" t="s">
        <v>107</v>
      </c>
      <c r="Z80" s="0" t="s">
        <v>108</v>
      </c>
      <c r="AA80" s="0" t="s">
        <v>126</v>
      </c>
      <c r="AB80" s="0" t="s">
        <v>688</v>
      </c>
      <c r="AC80" s="0" t="s">
        <v>109</v>
      </c>
    </row>
    <row r="81">
      <c r="A81" s="0" t="s">
        <v>28</v>
      </c>
      <c r="B81" s="0" t="s">
        <v>30</v>
      </c>
      <c r="C81" s="0" t="s">
        <v>125</v>
      </c>
      <c r="D81" s="0" t="s">
        <v>283</v>
      </c>
      <c r="E81" s="0" t="s">
        <v>229</v>
      </c>
      <c r="F81" s="0">
        <v>0</v>
      </c>
      <c r="G81" s="0" t="s">
        <v>106</v>
      </c>
      <c r="H81" s="0">
        <v>0</v>
      </c>
      <c r="I81" s="0">
        <v>0</v>
      </c>
      <c r="J81" s="0">
        <v>0</v>
      </c>
      <c r="K81" s="0">
        <v>0</v>
      </c>
      <c r="L81" s="0">
        <v>0</v>
      </c>
      <c r="M81" s="0">
        <v>0</v>
      </c>
      <c r="N81" s="0" t="b">
        <v>0</v>
      </c>
      <c r="O81" s="2">
        <v>44613.583333333336</v>
      </c>
      <c r="P81" s="2">
        <v>44613.625</v>
      </c>
      <c r="Q81" s="2">
        <v>44613.208333333336</v>
      </c>
      <c r="R81" s="2">
        <v>44613.25</v>
      </c>
      <c r="S81" s="0">
        <v>60</v>
      </c>
      <c r="T81" s="0">
        <v>12</v>
      </c>
      <c r="U81" s="0">
        <v>42</v>
      </c>
      <c r="V81" s="0">
        <v>305</v>
      </c>
      <c r="W81" s="1">
        <f>=HYPERLINK("10.175.1.14\MWEB.12\SEP\EntityDetails.10.175.1.14.MWEB.12.-inet-clerk.305.xlsx", "&lt;Detail&gt;")</f>
      </c>
      <c r="X81" s="1">
        <f>=HYPERLINK("10.175.1.14\MWEB.12\SEP\MetricGraphs.SEP.10.175.1.14.MWEB.12.xlsx", "&lt;Metrics&gt;")</f>
      </c>
      <c r="Y81" s="0" t="s">
        <v>107</v>
      </c>
      <c r="Z81" s="0" t="s">
        <v>108</v>
      </c>
      <c r="AA81" s="0" t="s">
        <v>126</v>
      </c>
      <c r="AB81" s="0" t="s">
        <v>689</v>
      </c>
      <c r="AC81" s="0" t="s">
        <v>109</v>
      </c>
    </row>
    <row r="82">
      <c r="A82" s="0" t="s">
        <v>28</v>
      </c>
      <c r="B82" s="0" t="s">
        <v>30</v>
      </c>
      <c r="C82" s="0" t="s">
        <v>125</v>
      </c>
      <c r="D82" s="0" t="s">
        <v>285</v>
      </c>
      <c r="E82" s="0" t="s">
        <v>229</v>
      </c>
      <c r="F82" s="0">
        <v>0</v>
      </c>
      <c r="G82" s="0" t="s">
        <v>106</v>
      </c>
      <c r="H82" s="0">
        <v>0</v>
      </c>
      <c r="I82" s="0">
        <v>0</v>
      </c>
      <c r="J82" s="0">
        <v>0</v>
      </c>
      <c r="K82" s="0">
        <v>0</v>
      </c>
      <c r="L82" s="0">
        <v>0</v>
      </c>
      <c r="M82" s="0">
        <v>0</v>
      </c>
      <c r="N82" s="0" t="b">
        <v>0</v>
      </c>
      <c r="O82" s="2">
        <v>44613.583333333336</v>
      </c>
      <c r="P82" s="2">
        <v>44613.625</v>
      </c>
      <c r="Q82" s="2">
        <v>44613.208333333336</v>
      </c>
      <c r="R82" s="2">
        <v>44613.25</v>
      </c>
      <c r="S82" s="0">
        <v>60</v>
      </c>
      <c r="T82" s="0">
        <v>12</v>
      </c>
      <c r="U82" s="0">
        <v>42</v>
      </c>
      <c r="V82" s="0">
        <v>302</v>
      </c>
      <c r="W82" s="1">
        <f>=HYPERLINK("10.175.1.14\MWEB.12\SEP\EntityDetails.10.175.1.14.MWEB.12.-inet-corpor.302.xlsx", "&lt;Detail&gt;")</f>
      </c>
      <c r="X82" s="1">
        <f>=HYPERLINK("10.175.1.14\MWEB.12\SEP\MetricGraphs.SEP.10.175.1.14.MWEB.12.xlsx", "&lt;Metrics&gt;")</f>
      </c>
      <c r="Y82" s="0" t="s">
        <v>107</v>
      </c>
      <c r="Z82" s="0" t="s">
        <v>108</v>
      </c>
      <c r="AA82" s="0" t="s">
        <v>126</v>
      </c>
      <c r="AB82" s="0" t="s">
        <v>690</v>
      </c>
      <c r="AC82" s="0" t="s">
        <v>109</v>
      </c>
    </row>
    <row r="83">
      <c r="A83" s="0" t="s">
        <v>28</v>
      </c>
      <c r="B83" s="0" t="s">
        <v>30</v>
      </c>
      <c r="C83" s="0" t="s">
        <v>125</v>
      </c>
      <c r="D83" s="0" t="s">
        <v>287</v>
      </c>
      <c r="E83" s="0" t="s">
        <v>229</v>
      </c>
      <c r="F83" s="0">
        <v>0</v>
      </c>
      <c r="G83" s="0" t="s">
        <v>106</v>
      </c>
      <c r="H83" s="0">
        <v>0</v>
      </c>
      <c r="I83" s="0">
        <v>0</v>
      </c>
      <c r="J83" s="0">
        <v>0</v>
      </c>
      <c r="K83" s="0">
        <v>0</v>
      </c>
      <c r="L83" s="0">
        <v>0</v>
      </c>
      <c r="M83" s="0">
        <v>0</v>
      </c>
      <c r="N83" s="0" t="b">
        <v>0</v>
      </c>
      <c r="O83" s="2">
        <v>44613.583333333336</v>
      </c>
      <c r="P83" s="2">
        <v>44613.625</v>
      </c>
      <c r="Q83" s="2">
        <v>44613.208333333336</v>
      </c>
      <c r="R83" s="2">
        <v>44613.25</v>
      </c>
      <c r="S83" s="0">
        <v>60</v>
      </c>
      <c r="T83" s="0">
        <v>12</v>
      </c>
      <c r="U83" s="0">
        <v>42</v>
      </c>
      <c r="V83" s="0">
        <v>172</v>
      </c>
      <c r="W83" s="1">
        <f>=HYPERLINK("10.175.1.14\MWEB.12\SEP\EntityDetails.10.175.1.14.MWEB.12.-inet-dy.172.xlsx", "&lt;Detail&gt;")</f>
      </c>
      <c r="X83" s="1">
        <f>=HYPERLINK("10.175.1.14\MWEB.12\SEP\MetricGraphs.SEP.10.175.1.14.MWEB.12.xlsx", "&lt;Metrics&gt;")</f>
      </c>
      <c r="Y83" s="0" t="s">
        <v>107</v>
      </c>
      <c r="Z83" s="0" t="s">
        <v>108</v>
      </c>
      <c r="AA83" s="0" t="s">
        <v>126</v>
      </c>
      <c r="AB83" s="0" t="s">
        <v>691</v>
      </c>
      <c r="AC83" s="0" t="s">
        <v>109</v>
      </c>
    </row>
    <row r="84">
      <c r="A84" s="0" t="s">
        <v>28</v>
      </c>
      <c r="B84" s="0" t="s">
        <v>30</v>
      </c>
      <c r="C84" s="0" t="s">
        <v>147</v>
      </c>
      <c r="D84" s="0" t="s">
        <v>287</v>
      </c>
      <c r="E84" s="0" t="s">
        <v>229</v>
      </c>
      <c r="F84" s="0">
        <v>0</v>
      </c>
      <c r="G84" s="0" t="s">
        <v>106</v>
      </c>
      <c r="H84" s="0">
        <v>0</v>
      </c>
      <c r="I84" s="0">
        <v>0</v>
      </c>
      <c r="J84" s="0">
        <v>0</v>
      </c>
      <c r="K84" s="0">
        <v>0</v>
      </c>
      <c r="L84" s="0">
        <v>0</v>
      </c>
      <c r="M84" s="0">
        <v>0</v>
      </c>
      <c r="N84" s="0" t="b">
        <v>0</v>
      </c>
      <c r="O84" s="2">
        <v>44613.583333333336</v>
      </c>
      <c r="P84" s="2">
        <v>44613.625</v>
      </c>
      <c r="Q84" s="2">
        <v>44613.208333333336</v>
      </c>
      <c r="R84" s="2">
        <v>44613.25</v>
      </c>
      <c r="S84" s="0">
        <v>60</v>
      </c>
      <c r="T84" s="0">
        <v>12</v>
      </c>
      <c r="U84" s="0">
        <v>49</v>
      </c>
      <c r="V84" s="0">
        <v>2536</v>
      </c>
      <c r="W84" s="1">
        <f>=HYPERLINK("10.175.1.14\MWEB.12\SEP\EntityDetails.10.175.1.14.MWEB.12.-inet-dy.2536.xlsx", "&lt;Detail&gt;")</f>
      </c>
      <c r="X84" s="1">
        <f>=HYPERLINK("10.175.1.14\MWEB.12\SEP\MetricGraphs.SEP.10.175.1.14.MWEB.12.xlsx", "&lt;Metrics&gt;")</f>
      </c>
      <c r="Y84" s="0" t="s">
        <v>107</v>
      </c>
      <c r="Z84" s="0" t="s">
        <v>108</v>
      </c>
      <c r="AA84" s="0" t="s">
        <v>148</v>
      </c>
      <c r="AB84" s="0" t="s">
        <v>692</v>
      </c>
      <c r="AC84" s="0" t="s">
        <v>109</v>
      </c>
    </row>
    <row r="85">
      <c r="A85" s="0" t="s">
        <v>28</v>
      </c>
      <c r="B85" s="0" t="s">
        <v>30</v>
      </c>
      <c r="C85" s="0" t="s">
        <v>125</v>
      </c>
      <c r="D85" s="0" t="s">
        <v>289</v>
      </c>
      <c r="E85" s="0" t="s">
        <v>229</v>
      </c>
      <c r="F85" s="0">
        <v>0</v>
      </c>
      <c r="G85" s="0" t="s">
        <v>106</v>
      </c>
      <c r="H85" s="0">
        <v>0</v>
      </c>
      <c r="I85" s="0">
        <v>0</v>
      </c>
      <c r="J85" s="0">
        <v>0</v>
      </c>
      <c r="K85" s="0">
        <v>0</v>
      </c>
      <c r="L85" s="0">
        <v>0</v>
      </c>
      <c r="M85" s="0">
        <v>0</v>
      </c>
      <c r="N85" s="0" t="b">
        <v>0</v>
      </c>
      <c r="O85" s="2">
        <v>44613.583333333336</v>
      </c>
      <c r="P85" s="2">
        <v>44613.625</v>
      </c>
      <c r="Q85" s="2">
        <v>44613.208333333336</v>
      </c>
      <c r="R85" s="2">
        <v>44613.25</v>
      </c>
      <c r="S85" s="0">
        <v>60</v>
      </c>
      <c r="T85" s="0">
        <v>12</v>
      </c>
      <c r="U85" s="0">
        <v>42</v>
      </c>
      <c r="V85" s="0">
        <v>333</v>
      </c>
      <c r="W85" s="1">
        <f>=HYPERLINK("10.175.1.14\MWEB.12\SEP\EntityDetails.10.175.1.14.MWEB.12.-inet-EshopS.333.xlsx", "&lt;Detail&gt;")</f>
      </c>
      <c r="X85" s="1">
        <f>=HYPERLINK("10.175.1.14\MWEB.12\SEP\MetricGraphs.SEP.10.175.1.14.MWEB.12.xlsx", "&lt;Metrics&gt;")</f>
      </c>
      <c r="Y85" s="0" t="s">
        <v>107</v>
      </c>
      <c r="Z85" s="0" t="s">
        <v>108</v>
      </c>
      <c r="AA85" s="0" t="s">
        <v>126</v>
      </c>
      <c r="AB85" s="0" t="s">
        <v>693</v>
      </c>
      <c r="AC85" s="0" t="s">
        <v>109</v>
      </c>
    </row>
    <row r="86">
      <c r="A86" s="0" t="s">
        <v>28</v>
      </c>
      <c r="B86" s="0" t="s">
        <v>30</v>
      </c>
      <c r="C86" s="0" t="s">
        <v>125</v>
      </c>
      <c r="D86" s="0" t="s">
        <v>291</v>
      </c>
      <c r="E86" s="0" t="s">
        <v>229</v>
      </c>
      <c r="F86" s="0">
        <v>0</v>
      </c>
      <c r="G86" s="0" t="s">
        <v>106</v>
      </c>
      <c r="H86" s="0">
        <v>0</v>
      </c>
      <c r="I86" s="0">
        <v>0</v>
      </c>
      <c r="J86" s="0">
        <v>0</v>
      </c>
      <c r="K86" s="0">
        <v>0</v>
      </c>
      <c r="L86" s="0">
        <v>0</v>
      </c>
      <c r="M86" s="0">
        <v>0</v>
      </c>
      <c r="N86" s="0" t="b">
        <v>0</v>
      </c>
      <c r="O86" s="2">
        <v>44613.583333333336</v>
      </c>
      <c r="P86" s="2">
        <v>44613.625</v>
      </c>
      <c r="Q86" s="2">
        <v>44613.208333333336</v>
      </c>
      <c r="R86" s="2">
        <v>44613.25</v>
      </c>
      <c r="S86" s="0">
        <v>60</v>
      </c>
      <c r="T86" s="0">
        <v>12</v>
      </c>
      <c r="U86" s="0">
        <v>42</v>
      </c>
      <c r="V86" s="0">
        <v>161</v>
      </c>
      <c r="W86" s="1">
        <f>=HYPERLINK("10.175.1.14\MWEB.12\SEP\EntityDetails.10.175.1.14.MWEB.12.-inet-idpw.161.xlsx", "&lt;Detail&gt;")</f>
      </c>
      <c r="X86" s="1">
        <f>=HYPERLINK("10.175.1.14\MWEB.12\SEP\MetricGraphs.SEP.10.175.1.14.MWEB.12.xlsx", "&lt;Metrics&gt;")</f>
      </c>
      <c r="Y86" s="0" t="s">
        <v>107</v>
      </c>
      <c r="Z86" s="0" t="s">
        <v>108</v>
      </c>
      <c r="AA86" s="0" t="s">
        <v>126</v>
      </c>
      <c r="AB86" s="0" t="s">
        <v>694</v>
      </c>
      <c r="AC86" s="0" t="s">
        <v>109</v>
      </c>
    </row>
    <row r="87">
      <c r="A87" s="0" t="s">
        <v>28</v>
      </c>
      <c r="B87" s="0" t="s">
        <v>30</v>
      </c>
      <c r="C87" s="0" t="s">
        <v>125</v>
      </c>
      <c r="D87" s="0" t="s">
        <v>695</v>
      </c>
      <c r="E87" s="0" t="s">
        <v>229</v>
      </c>
      <c r="F87" s="0">
        <v>0</v>
      </c>
      <c r="G87" s="0" t="s">
        <v>106</v>
      </c>
      <c r="H87" s="0">
        <v>0</v>
      </c>
      <c r="I87" s="0">
        <v>0</v>
      </c>
      <c r="J87" s="0">
        <v>0</v>
      </c>
      <c r="K87" s="0">
        <v>0</v>
      </c>
      <c r="L87" s="0">
        <v>0</v>
      </c>
      <c r="M87" s="0">
        <v>0</v>
      </c>
      <c r="N87" s="0" t="b">
        <v>0</v>
      </c>
      <c r="O87" s="2">
        <v>44613.583333333336</v>
      </c>
      <c r="P87" s="2">
        <v>44613.625</v>
      </c>
      <c r="Q87" s="2">
        <v>44613.208333333336</v>
      </c>
      <c r="R87" s="2">
        <v>44613.25</v>
      </c>
      <c r="S87" s="0">
        <v>60</v>
      </c>
      <c r="T87" s="0">
        <v>12</v>
      </c>
      <c r="U87" s="0">
        <v>42</v>
      </c>
      <c r="V87" s="0">
        <v>478</v>
      </c>
      <c r="W87" s="1">
        <f>=HYPERLINK("10.175.1.14\MWEB.12\SEP\EntityDetails.10.175.1.14.MWEB.12.-inet-ITYZKE.478.xlsx", "&lt;Detail&gt;")</f>
      </c>
      <c r="X87" s="1">
        <f>=HYPERLINK("10.175.1.14\MWEB.12\SEP\MetricGraphs.SEP.10.175.1.14.MWEB.12.xlsx", "&lt;Metrics&gt;")</f>
      </c>
      <c r="Y87" s="0" t="s">
        <v>107</v>
      </c>
      <c r="Z87" s="0" t="s">
        <v>108</v>
      </c>
      <c r="AA87" s="0" t="s">
        <v>126</v>
      </c>
      <c r="AB87" s="0" t="s">
        <v>696</v>
      </c>
      <c r="AC87" s="0" t="s">
        <v>109</v>
      </c>
    </row>
    <row r="88">
      <c r="A88" s="0" t="s">
        <v>28</v>
      </c>
      <c r="B88" s="0" t="s">
        <v>30</v>
      </c>
      <c r="C88" s="0" t="s">
        <v>125</v>
      </c>
      <c r="D88" s="0" t="s">
        <v>293</v>
      </c>
      <c r="E88" s="0" t="s">
        <v>229</v>
      </c>
      <c r="F88" s="0">
        <v>0</v>
      </c>
      <c r="G88" s="0" t="s">
        <v>106</v>
      </c>
      <c r="H88" s="0">
        <v>0</v>
      </c>
      <c r="I88" s="0">
        <v>0</v>
      </c>
      <c r="J88" s="0">
        <v>0</v>
      </c>
      <c r="K88" s="0">
        <v>0</v>
      </c>
      <c r="L88" s="0">
        <v>0</v>
      </c>
      <c r="M88" s="0">
        <v>0</v>
      </c>
      <c r="N88" s="0" t="b">
        <v>0</v>
      </c>
      <c r="O88" s="2">
        <v>44613.583333333336</v>
      </c>
      <c r="P88" s="2">
        <v>44613.625</v>
      </c>
      <c r="Q88" s="2">
        <v>44613.208333333336</v>
      </c>
      <c r="R88" s="2">
        <v>44613.25</v>
      </c>
      <c r="S88" s="0">
        <v>60</v>
      </c>
      <c r="T88" s="0">
        <v>12</v>
      </c>
      <c r="U88" s="0">
        <v>42</v>
      </c>
      <c r="V88" s="0">
        <v>101</v>
      </c>
      <c r="W88" s="1">
        <f>=HYPERLINK("10.175.1.14\MWEB.12\SEP\EntityDetails.10.175.1.14.MWEB.12.-inet-life.101.xlsx", "&lt;Detail&gt;")</f>
      </c>
      <c r="X88" s="1">
        <f>=HYPERLINK("10.175.1.14\MWEB.12\SEP\MetricGraphs.SEP.10.175.1.14.MWEB.12.xlsx", "&lt;Metrics&gt;")</f>
      </c>
      <c r="Y88" s="0" t="s">
        <v>107</v>
      </c>
      <c r="Z88" s="0" t="s">
        <v>108</v>
      </c>
      <c r="AA88" s="0" t="s">
        <v>126</v>
      </c>
      <c r="AB88" s="0" t="s">
        <v>697</v>
      </c>
      <c r="AC88" s="0" t="s">
        <v>109</v>
      </c>
    </row>
    <row r="89">
      <c r="A89" s="0" t="s">
        <v>28</v>
      </c>
      <c r="B89" s="0" t="s">
        <v>30</v>
      </c>
      <c r="C89" s="0" t="s">
        <v>147</v>
      </c>
      <c r="D89" s="0" t="s">
        <v>698</v>
      </c>
      <c r="E89" s="0" t="s">
        <v>229</v>
      </c>
      <c r="F89" s="0">
        <v>0</v>
      </c>
      <c r="G89" s="0" t="s">
        <v>106</v>
      </c>
      <c r="H89" s="0">
        <v>0</v>
      </c>
      <c r="I89" s="0">
        <v>0</v>
      </c>
      <c r="J89" s="0">
        <v>0</v>
      </c>
      <c r="K89" s="0">
        <v>0</v>
      </c>
      <c r="L89" s="0">
        <v>0</v>
      </c>
      <c r="M89" s="0">
        <v>0</v>
      </c>
      <c r="N89" s="0" t="b">
        <v>0</v>
      </c>
      <c r="O89" s="2">
        <v>44613.583333333336</v>
      </c>
      <c r="P89" s="2">
        <v>44613.625</v>
      </c>
      <c r="Q89" s="2">
        <v>44613.208333333336</v>
      </c>
      <c r="R89" s="2">
        <v>44613.25</v>
      </c>
      <c r="S89" s="0">
        <v>60</v>
      </c>
      <c r="T89" s="0">
        <v>12</v>
      </c>
      <c r="U89" s="0">
        <v>49</v>
      </c>
      <c r="V89" s="0">
        <v>2533</v>
      </c>
      <c r="W89" s="1">
        <f>=HYPERLINK("10.175.1.14\MWEB.12\SEP\EntityDetails.10.175.1.14.MWEB.12.-inet-mufg.2533.xlsx", "&lt;Detail&gt;")</f>
      </c>
      <c r="X89" s="1">
        <f>=HYPERLINK("10.175.1.14\MWEB.12\SEP\MetricGraphs.SEP.10.175.1.14.MWEB.12.xlsx", "&lt;Metrics&gt;")</f>
      </c>
      <c r="Y89" s="0" t="s">
        <v>107</v>
      </c>
      <c r="Z89" s="0" t="s">
        <v>108</v>
      </c>
      <c r="AA89" s="0" t="s">
        <v>148</v>
      </c>
      <c r="AB89" s="0" t="s">
        <v>699</v>
      </c>
      <c r="AC89" s="0" t="s">
        <v>109</v>
      </c>
    </row>
    <row r="90">
      <c r="A90" s="0" t="s">
        <v>28</v>
      </c>
      <c r="B90" s="0" t="s">
        <v>30</v>
      </c>
      <c r="C90" s="0" t="s">
        <v>125</v>
      </c>
      <c r="D90" s="0" t="s">
        <v>295</v>
      </c>
      <c r="E90" s="0" t="s">
        <v>229</v>
      </c>
      <c r="F90" s="0">
        <v>0</v>
      </c>
      <c r="G90" s="0" t="s">
        <v>106</v>
      </c>
      <c r="H90" s="0">
        <v>0</v>
      </c>
      <c r="I90" s="0">
        <v>0</v>
      </c>
      <c r="J90" s="0">
        <v>0</v>
      </c>
      <c r="K90" s="0">
        <v>0</v>
      </c>
      <c r="L90" s="0">
        <v>0</v>
      </c>
      <c r="M90" s="0">
        <v>0</v>
      </c>
      <c r="N90" s="0" t="b">
        <v>0</v>
      </c>
      <c r="O90" s="2">
        <v>44613.583333333336</v>
      </c>
      <c r="P90" s="2">
        <v>44613.625</v>
      </c>
      <c r="Q90" s="2">
        <v>44613.208333333336</v>
      </c>
      <c r="R90" s="2">
        <v>44613.25</v>
      </c>
      <c r="S90" s="0">
        <v>60</v>
      </c>
      <c r="T90" s="0">
        <v>12</v>
      </c>
      <c r="U90" s="0">
        <v>42</v>
      </c>
      <c r="V90" s="0">
        <v>178</v>
      </c>
      <c r="W90" s="1">
        <f>=HYPERLINK("10.175.1.14\MWEB.12\SEP\EntityDetails.10.175.1.14.MWEB.12.-inet-ni.178.xlsx", "&lt;Detail&gt;")</f>
      </c>
      <c r="X90" s="1">
        <f>=HYPERLINK("10.175.1.14\MWEB.12\SEP\MetricGraphs.SEP.10.175.1.14.MWEB.12.xlsx", "&lt;Metrics&gt;")</f>
      </c>
      <c r="Y90" s="0" t="s">
        <v>107</v>
      </c>
      <c r="Z90" s="0" t="s">
        <v>108</v>
      </c>
      <c r="AA90" s="0" t="s">
        <v>126</v>
      </c>
      <c r="AB90" s="0" t="s">
        <v>700</v>
      </c>
      <c r="AC90" s="0" t="s">
        <v>109</v>
      </c>
    </row>
    <row r="91">
      <c r="A91" s="0" t="s">
        <v>28</v>
      </c>
      <c r="B91" s="0" t="s">
        <v>30</v>
      </c>
      <c r="C91" s="0" t="s">
        <v>127</v>
      </c>
      <c r="D91" s="0" t="s">
        <v>297</v>
      </c>
      <c r="E91" s="0" t="s">
        <v>229</v>
      </c>
      <c r="F91" s="0">
        <v>0</v>
      </c>
      <c r="G91" s="0" t="s">
        <v>106</v>
      </c>
      <c r="H91" s="0">
        <v>0</v>
      </c>
      <c r="I91" s="0">
        <v>0</v>
      </c>
      <c r="J91" s="0">
        <v>0</v>
      </c>
      <c r="K91" s="0">
        <v>0</v>
      </c>
      <c r="L91" s="0">
        <v>0</v>
      </c>
      <c r="M91" s="0">
        <v>0</v>
      </c>
      <c r="N91" s="0" t="b">
        <v>0</v>
      </c>
      <c r="O91" s="2">
        <v>44613.583333333336</v>
      </c>
      <c r="P91" s="2">
        <v>44613.625</v>
      </c>
      <c r="Q91" s="2">
        <v>44613.208333333336</v>
      </c>
      <c r="R91" s="2">
        <v>44613.25</v>
      </c>
      <c r="S91" s="0">
        <v>60</v>
      </c>
      <c r="T91" s="0">
        <v>12</v>
      </c>
      <c r="U91" s="0">
        <v>39</v>
      </c>
      <c r="V91" s="0">
        <v>299</v>
      </c>
      <c r="W91" s="1">
        <f>=HYPERLINK("10.175.1.14\MWEB.12\SEP\EntityDetails.10.175.1.14.MWEB.12.-inet-nyukai.299.xlsx", "&lt;Detail&gt;")</f>
      </c>
      <c r="X91" s="1">
        <f>=HYPERLINK("10.175.1.14\MWEB.12\SEP\MetricGraphs.SEP.10.175.1.14.MWEB.12.xlsx", "&lt;Metrics&gt;")</f>
      </c>
      <c r="Y91" s="0" t="s">
        <v>107</v>
      </c>
      <c r="Z91" s="0" t="s">
        <v>108</v>
      </c>
      <c r="AA91" s="0" t="s">
        <v>128</v>
      </c>
      <c r="AB91" s="0" t="s">
        <v>701</v>
      </c>
      <c r="AC91" s="0" t="s">
        <v>109</v>
      </c>
    </row>
    <row r="92">
      <c r="A92" s="0" t="s">
        <v>28</v>
      </c>
      <c r="B92" s="0" t="s">
        <v>30</v>
      </c>
      <c r="C92" s="0" t="s">
        <v>125</v>
      </c>
      <c r="D92" s="0" t="s">
        <v>299</v>
      </c>
      <c r="E92" s="0" t="s">
        <v>229</v>
      </c>
      <c r="F92" s="0">
        <v>0</v>
      </c>
      <c r="G92" s="0" t="s">
        <v>106</v>
      </c>
      <c r="H92" s="0">
        <v>0</v>
      </c>
      <c r="I92" s="0">
        <v>0</v>
      </c>
      <c r="J92" s="0">
        <v>0</v>
      </c>
      <c r="K92" s="0">
        <v>0</v>
      </c>
      <c r="L92" s="0">
        <v>0</v>
      </c>
      <c r="M92" s="0">
        <v>0</v>
      </c>
      <c r="N92" s="0" t="b">
        <v>0</v>
      </c>
      <c r="O92" s="2">
        <v>44613.583333333336</v>
      </c>
      <c r="P92" s="2">
        <v>44613.625</v>
      </c>
      <c r="Q92" s="2">
        <v>44613.208333333336</v>
      </c>
      <c r="R92" s="2">
        <v>44613.25</v>
      </c>
      <c r="S92" s="0">
        <v>60</v>
      </c>
      <c r="T92" s="0">
        <v>12</v>
      </c>
      <c r="U92" s="0">
        <v>42</v>
      </c>
      <c r="V92" s="0">
        <v>177</v>
      </c>
      <c r="W92" s="1">
        <f>=HYPERLINK("10.175.1.14\MWEB.12\SEP\EntityDetails.10.175.1.14.MWEB.12.-inet-online.177.xlsx", "&lt;Detail&gt;")</f>
      </c>
      <c r="X92" s="1">
        <f>=HYPERLINK("10.175.1.14\MWEB.12\SEP\MetricGraphs.SEP.10.175.1.14.MWEB.12.xlsx", "&lt;Metrics&gt;")</f>
      </c>
      <c r="Y92" s="0" t="s">
        <v>107</v>
      </c>
      <c r="Z92" s="0" t="s">
        <v>108</v>
      </c>
      <c r="AA92" s="0" t="s">
        <v>126</v>
      </c>
      <c r="AB92" s="0" t="s">
        <v>702</v>
      </c>
      <c r="AC92" s="0" t="s">
        <v>109</v>
      </c>
    </row>
    <row r="93">
      <c r="A93" s="0" t="s">
        <v>28</v>
      </c>
      <c r="B93" s="0" t="s">
        <v>30</v>
      </c>
      <c r="C93" s="0" t="s">
        <v>131</v>
      </c>
      <c r="D93" s="0" t="s">
        <v>299</v>
      </c>
      <c r="E93" s="0" t="s">
        <v>229</v>
      </c>
      <c r="F93" s="0">
        <v>0</v>
      </c>
      <c r="G93" s="0" t="s">
        <v>106</v>
      </c>
      <c r="H93" s="0">
        <v>0</v>
      </c>
      <c r="I93" s="0">
        <v>0</v>
      </c>
      <c r="J93" s="0">
        <v>0</v>
      </c>
      <c r="K93" s="0">
        <v>0</v>
      </c>
      <c r="L93" s="0">
        <v>0</v>
      </c>
      <c r="M93" s="0">
        <v>0</v>
      </c>
      <c r="N93" s="0" t="b">
        <v>0</v>
      </c>
      <c r="O93" s="2">
        <v>44613.583333333336</v>
      </c>
      <c r="P93" s="2">
        <v>44613.625</v>
      </c>
      <c r="Q93" s="2">
        <v>44613.208333333336</v>
      </c>
      <c r="R93" s="2">
        <v>44613.25</v>
      </c>
      <c r="S93" s="0">
        <v>60</v>
      </c>
      <c r="T93" s="0">
        <v>12</v>
      </c>
      <c r="U93" s="0">
        <v>40</v>
      </c>
      <c r="V93" s="0">
        <v>1567</v>
      </c>
      <c r="W93" s="1">
        <f>=HYPERLINK("10.175.1.14\MWEB.12\SEP\EntityDetails.10.175.1.14.MWEB.12.-inet-online.1567.xlsx", "&lt;Detail&gt;")</f>
      </c>
      <c r="X93" s="1">
        <f>=HYPERLINK("10.175.1.14\MWEB.12\SEP\MetricGraphs.SEP.10.175.1.14.MWEB.12.xlsx", "&lt;Metrics&gt;")</f>
      </c>
      <c r="Y93" s="0" t="s">
        <v>107</v>
      </c>
      <c r="Z93" s="0" t="s">
        <v>108</v>
      </c>
      <c r="AA93" s="0" t="s">
        <v>132</v>
      </c>
      <c r="AB93" s="0" t="s">
        <v>703</v>
      </c>
      <c r="AC93" s="0" t="s">
        <v>109</v>
      </c>
    </row>
    <row r="94">
      <c r="A94" s="0" t="s">
        <v>28</v>
      </c>
      <c r="B94" s="0" t="s">
        <v>30</v>
      </c>
      <c r="C94" s="0" t="s">
        <v>125</v>
      </c>
      <c r="D94" s="0" t="s">
        <v>301</v>
      </c>
      <c r="E94" s="0" t="s">
        <v>229</v>
      </c>
      <c r="F94" s="0">
        <v>0</v>
      </c>
      <c r="G94" s="0" t="s">
        <v>106</v>
      </c>
      <c r="H94" s="0">
        <v>0</v>
      </c>
      <c r="I94" s="0">
        <v>0</v>
      </c>
      <c r="J94" s="0">
        <v>0</v>
      </c>
      <c r="K94" s="0">
        <v>0</v>
      </c>
      <c r="L94" s="0">
        <v>0</v>
      </c>
      <c r="M94" s="0">
        <v>0</v>
      </c>
      <c r="N94" s="0" t="b">
        <v>0</v>
      </c>
      <c r="O94" s="2">
        <v>44613.583333333336</v>
      </c>
      <c r="P94" s="2">
        <v>44613.625</v>
      </c>
      <c r="Q94" s="2">
        <v>44613.208333333336</v>
      </c>
      <c r="R94" s="2">
        <v>44613.25</v>
      </c>
      <c r="S94" s="0">
        <v>60</v>
      </c>
      <c r="T94" s="0">
        <v>12</v>
      </c>
      <c r="U94" s="0">
        <v>42</v>
      </c>
      <c r="V94" s="0">
        <v>192</v>
      </c>
      <c r="W94" s="1">
        <f>=HYPERLINK("10.175.1.14\MWEB.12\SEP\EntityDetails.10.175.1.14.MWEB.12.-inet-postac.192.xlsx", "&lt;Detail&gt;")</f>
      </c>
      <c r="X94" s="1">
        <f>=HYPERLINK("10.175.1.14\MWEB.12\SEP\MetricGraphs.SEP.10.175.1.14.MWEB.12.xlsx", "&lt;Metrics&gt;")</f>
      </c>
      <c r="Y94" s="0" t="s">
        <v>107</v>
      </c>
      <c r="Z94" s="0" t="s">
        <v>108</v>
      </c>
      <c r="AA94" s="0" t="s">
        <v>126</v>
      </c>
      <c r="AB94" s="0" t="s">
        <v>704</v>
      </c>
      <c r="AC94" s="0" t="s">
        <v>109</v>
      </c>
    </row>
    <row r="95">
      <c r="A95" s="0" t="s">
        <v>28</v>
      </c>
      <c r="B95" s="0" t="s">
        <v>30</v>
      </c>
      <c r="C95" s="0" t="s">
        <v>125</v>
      </c>
      <c r="D95" s="0" t="s">
        <v>303</v>
      </c>
      <c r="E95" s="0" t="s">
        <v>229</v>
      </c>
      <c r="F95" s="0">
        <v>0</v>
      </c>
      <c r="G95" s="0" t="s">
        <v>106</v>
      </c>
      <c r="H95" s="0">
        <v>0</v>
      </c>
      <c r="I95" s="0">
        <v>0</v>
      </c>
      <c r="J95" s="0">
        <v>0</v>
      </c>
      <c r="K95" s="0">
        <v>0</v>
      </c>
      <c r="L95" s="0">
        <v>0</v>
      </c>
      <c r="M95" s="0">
        <v>0</v>
      </c>
      <c r="N95" s="0" t="b">
        <v>0</v>
      </c>
      <c r="O95" s="2">
        <v>44613.583333333336</v>
      </c>
      <c r="P95" s="2">
        <v>44613.625</v>
      </c>
      <c r="Q95" s="2">
        <v>44613.208333333336</v>
      </c>
      <c r="R95" s="2">
        <v>44613.25</v>
      </c>
      <c r="S95" s="0">
        <v>60</v>
      </c>
      <c r="T95" s="0">
        <v>12</v>
      </c>
      <c r="U95" s="0">
        <v>42</v>
      </c>
      <c r="V95" s="0">
        <v>306</v>
      </c>
      <c r="W95" s="1">
        <f>=HYPERLINK("10.175.1.14\MWEB.12\SEP\EntityDetails.10.175.1.14.MWEB.12.-inet-rwd.306.xlsx", "&lt;Detail&gt;")</f>
      </c>
      <c r="X95" s="1">
        <f>=HYPERLINK("10.175.1.14\MWEB.12\SEP\MetricGraphs.SEP.10.175.1.14.MWEB.12.xlsx", "&lt;Metrics&gt;")</f>
      </c>
      <c r="Y95" s="0" t="s">
        <v>107</v>
      </c>
      <c r="Z95" s="0" t="s">
        <v>108</v>
      </c>
      <c r="AA95" s="0" t="s">
        <v>126</v>
      </c>
      <c r="AB95" s="0" t="s">
        <v>705</v>
      </c>
      <c r="AC95" s="0" t="s">
        <v>109</v>
      </c>
    </row>
    <row r="96">
      <c r="A96" s="0" t="s">
        <v>28</v>
      </c>
      <c r="B96" s="0" t="s">
        <v>30</v>
      </c>
      <c r="C96" s="0" t="s">
        <v>125</v>
      </c>
      <c r="D96" s="0" t="s">
        <v>305</v>
      </c>
      <c r="E96" s="0" t="s">
        <v>229</v>
      </c>
      <c r="F96" s="0">
        <v>0</v>
      </c>
      <c r="G96" s="0" t="s">
        <v>106</v>
      </c>
      <c r="H96" s="0">
        <v>0</v>
      </c>
      <c r="I96" s="0">
        <v>0</v>
      </c>
      <c r="J96" s="0">
        <v>0</v>
      </c>
      <c r="K96" s="0">
        <v>0</v>
      </c>
      <c r="L96" s="0">
        <v>0</v>
      </c>
      <c r="M96" s="0">
        <v>0</v>
      </c>
      <c r="N96" s="0" t="b">
        <v>0</v>
      </c>
      <c r="O96" s="2">
        <v>44613.583333333336</v>
      </c>
      <c r="P96" s="2">
        <v>44613.625</v>
      </c>
      <c r="Q96" s="2">
        <v>44613.208333333336</v>
      </c>
      <c r="R96" s="2">
        <v>44613.25</v>
      </c>
      <c r="S96" s="0">
        <v>60</v>
      </c>
      <c r="T96" s="0">
        <v>12</v>
      </c>
      <c r="U96" s="0">
        <v>42</v>
      </c>
      <c r="V96" s="0">
        <v>317</v>
      </c>
      <c r="W96" s="1">
        <f>=HYPERLINK("10.175.1.14\MWEB.12\SEP\EntityDetails.10.175.1.14.MWEB.12.-inet-seamle.317.xlsx", "&lt;Detail&gt;")</f>
      </c>
      <c r="X96" s="1">
        <f>=HYPERLINK("10.175.1.14\MWEB.12\SEP\MetricGraphs.SEP.10.175.1.14.MWEB.12.xlsx", "&lt;Metrics&gt;")</f>
      </c>
      <c r="Y96" s="0" t="s">
        <v>107</v>
      </c>
      <c r="Z96" s="0" t="s">
        <v>108</v>
      </c>
      <c r="AA96" s="0" t="s">
        <v>126</v>
      </c>
      <c r="AB96" s="0" t="s">
        <v>706</v>
      </c>
      <c r="AC96" s="0" t="s">
        <v>109</v>
      </c>
    </row>
    <row r="97">
      <c r="A97" s="0" t="s">
        <v>28</v>
      </c>
      <c r="B97" s="0" t="s">
        <v>30</v>
      </c>
      <c r="C97" s="0" t="s">
        <v>125</v>
      </c>
      <c r="D97" s="0" t="s">
        <v>307</v>
      </c>
      <c r="E97" s="0" t="s">
        <v>229</v>
      </c>
      <c r="F97" s="0">
        <v>0</v>
      </c>
      <c r="G97" s="0" t="s">
        <v>106</v>
      </c>
      <c r="H97" s="0">
        <v>0</v>
      </c>
      <c r="I97" s="0">
        <v>0</v>
      </c>
      <c r="J97" s="0">
        <v>0</v>
      </c>
      <c r="K97" s="0">
        <v>0</v>
      </c>
      <c r="L97" s="0">
        <v>0</v>
      </c>
      <c r="M97" s="0">
        <v>0</v>
      </c>
      <c r="N97" s="0" t="b">
        <v>0</v>
      </c>
      <c r="O97" s="2">
        <v>44613.583333333336</v>
      </c>
      <c r="P97" s="2">
        <v>44613.625</v>
      </c>
      <c r="Q97" s="2">
        <v>44613.208333333336</v>
      </c>
      <c r="R97" s="2">
        <v>44613.25</v>
      </c>
      <c r="S97" s="0">
        <v>60</v>
      </c>
      <c r="T97" s="0">
        <v>12</v>
      </c>
      <c r="U97" s="0">
        <v>42</v>
      </c>
      <c r="V97" s="0">
        <v>194</v>
      </c>
      <c r="W97" s="1">
        <f>=HYPERLINK("10.175.1.14\MWEB.12\SEP\EntityDetails.10.175.1.14.MWEB.12.-inet-shiryo.194.xlsx", "&lt;Detail&gt;")</f>
      </c>
      <c r="X97" s="1">
        <f>=HYPERLINK("10.175.1.14\MWEB.12\SEP\MetricGraphs.SEP.10.175.1.14.MWEB.12.xlsx", "&lt;Metrics&gt;")</f>
      </c>
      <c r="Y97" s="0" t="s">
        <v>107</v>
      </c>
      <c r="Z97" s="0" t="s">
        <v>108</v>
      </c>
      <c r="AA97" s="0" t="s">
        <v>126</v>
      </c>
      <c r="AB97" s="0" t="s">
        <v>707</v>
      </c>
      <c r="AC97" s="0" t="s">
        <v>109</v>
      </c>
    </row>
    <row r="98">
      <c r="A98" s="0" t="s">
        <v>28</v>
      </c>
      <c r="B98" s="0" t="s">
        <v>30</v>
      </c>
      <c r="C98" s="0" t="s">
        <v>125</v>
      </c>
      <c r="D98" s="0" t="s">
        <v>309</v>
      </c>
      <c r="E98" s="0" t="s">
        <v>229</v>
      </c>
      <c r="F98" s="0">
        <v>0</v>
      </c>
      <c r="G98" s="0" t="s">
        <v>106</v>
      </c>
      <c r="H98" s="0">
        <v>0</v>
      </c>
      <c r="I98" s="0">
        <v>0</v>
      </c>
      <c r="J98" s="0">
        <v>0</v>
      </c>
      <c r="K98" s="0">
        <v>0</v>
      </c>
      <c r="L98" s="0">
        <v>0</v>
      </c>
      <c r="M98" s="0">
        <v>0</v>
      </c>
      <c r="N98" s="0" t="b">
        <v>0</v>
      </c>
      <c r="O98" s="2">
        <v>44613.583333333336</v>
      </c>
      <c r="P98" s="2">
        <v>44613.625</v>
      </c>
      <c r="Q98" s="2">
        <v>44613.208333333336</v>
      </c>
      <c r="R98" s="2">
        <v>44613.25</v>
      </c>
      <c r="S98" s="0">
        <v>60</v>
      </c>
      <c r="T98" s="0">
        <v>12</v>
      </c>
      <c r="U98" s="0">
        <v>42</v>
      </c>
      <c r="V98" s="0">
        <v>191</v>
      </c>
      <c r="W98" s="1">
        <f>=HYPERLINK("10.175.1.14\MWEB.12\SEP\EntityDetails.10.175.1.14.MWEB.12.-inet-siryo.191.xlsx", "&lt;Detail&gt;")</f>
      </c>
      <c r="X98" s="1">
        <f>=HYPERLINK("10.175.1.14\MWEB.12\SEP\MetricGraphs.SEP.10.175.1.14.MWEB.12.xlsx", "&lt;Metrics&gt;")</f>
      </c>
      <c r="Y98" s="0" t="s">
        <v>107</v>
      </c>
      <c r="Z98" s="0" t="s">
        <v>108</v>
      </c>
      <c r="AA98" s="0" t="s">
        <v>126</v>
      </c>
      <c r="AB98" s="0" t="s">
        <v>708</v>
      </c>
      <c r="AC98" s="0" t="s">
        <v>109</v>
      </c>
    </row>
    <row r="99">
      <c r="A99" s="0" t="s">
        <v>28</v>
      </c>
      <c r="B99" s="0" t="s">
        <v>30</v>
      </c>
      <c r="C99" s="0" t="s">
        <v>125</v>
      </c>
      <c r="D99" s="0" t="s">
        <v>709</v>
      </c>
      <c r="E99" s="0" t="s">
        <v>229</v>
      </c>
      <c r="F99" s="0">
        <v>0</v>
      </c>
      <c r="G99" s="0" t="s">
        <v>106</v>
      </c>
      <c r="H99" s="0">
        <v>0</v>
      </c>
      <c r="I99" s="0">
        <v>0</v>
      </c>
      <c r="J99" s="0">
        <v>0</v>
      </c>
      <c r="K99" s="0">
        <v>0</v>
      </c>
      <c r="L99" s="0">
        <v>0</v>
      </c>
      <c r="M99" s="0">
        <v>0</v>
      </c>
      <c r="N99" s="0" t="b">
        <v>0</v>
      </c>
      <c r="O99" s="2">
        <v>44613.583333333336</v>
      </c>
      <c r="P99" s="2">
        <v>44613.625</v>
      </c>
      <c r="Q99" s="2">
        <v>44613.208333333336</v>
      </c>
      <c r="R99" s="2">
        <v>44613.25</v>
      </c>
      <c r="S99" s="0">
        <v>60</v>
      </c>
      <c r="T99" s="0">
        <v>12</v>
      </c>
      <c r="U99" s="0">
        <v>42</v>
      </c>
      <c r="V99" s="0">
        <v>710</v>
      </c>
      <c r="W99" s="1">
        <f>=HYPERLINK("10.175.1.14\MWEB.12\SEP\EntityDetails.10.175.1.14.MWEB.12.-inet-test.j.710.xlsx", "&lt;Detail&gt;")</f>
      </c>
      <c r="X99" s="1">
        <f>=HYPERLINK("10.175.1.14\MWEB.12\SEP\MetricGraphs.SEP.10.175.1.14.MWEB.12.xlsx", "&lt;Metrics&gt;")</f>
      </c>
      <c r="Y99" s="0" t="s">
        <v>107</v>
      </c>
      <c r="Z99" s="0" t="s">
        <v>108</v>
      </c>
      <c r="AA99" s="0" t="s">
        <v>126</v>
      </c>
      <c r="AB99" s="0" t="s">
        <v>710</v>
      </c>
      <c r="AC99" s="0" t="s">
        <v>109</v>
      </c>
    </row>
    <row r="100">
      <c r="A100" s="0" t="s">
        <v>28</v>
      </c>
      <c r="B100" s="0" t="s">
        <v>30</v>
      </c>
      <c r="C100" s="0" t="s">
        <v>125</v>
      </c>
      <c r="D100" s="0" t="s">
        <v>311</v>
      </c>
      <c r="E100" s="0" t="s">
        <v>229</v>
      </c>
      <c r="F100" s="0">
        <v>0</v>
      </c>
      <c r="G100" s="0" t="s">
        <v>106</v>
      </c>
      <c r="H100" s="0">
        <v>0</v>
      </c>
      <c r="I100" s="0">
        <v>0</v>
      </c>
      <c r="J100" s="0">
        <v>0</v>
      </c>
      <c r="K100" s="0">
        <v>0</v>
      </c>
      <c r="L100" s="0">
        <v>0</v>
      </c>
      <c r="M100" s="0">
        <v>0</v>
      </c>
      <c r="N100" s="0" t="b">
        <v>0</v>
      </c>
      <c r="O100" s="2">
        <v>44613.583333333336</v>
      </c>
      <c r="P100" s="2">
        <v>44613.625</v>
      </c>
      <c r="Q100" s="2">
        <v>44613.208333333336</v>
      </c>
      <c r="R100" s="2">
        <v>44613.25</v>
      </c>
      <c r="S100" s="0">
        <v>60</v>
      </c>
      <c r="T100" s="0">
        <v>12</v>
      </c>
      <c r="U100" s="0">
        <v>42</v>
      </c>
      <c r="V100" s="0">
        <v>181</v>
      </c>
      <c r="W100" s="1">
        <f>=HYPERLINK("10.175.1.14\MWEB.12\SEP\EntityDetails.10.175.1.14.MWEB.12.-inet-toto.181.xlsx", "&lt;Detail&gt;")</f>
      </c>
      <c r="X100" s="1">
        <f>=HYPERLINK("10.175.1.14\MWEB.12\SEP\MetricGraphs.SEP.10.175.1.14.MWEB.12.xlsx", "&lt;Metrics&gt;")</f>
      </c>
      <c r="Y100" s="0" t="s">
        <v>107</v>
      </c>
      <c r="Z100" s="0" t="s">
        <v>108</v>
      </c>
      <c r="AA100" s="0" t="s">
        <v>126</v>
      </c>
      <c r="AB100" s="0" t="s">
        <v>711</v>
      </c>
      <c r="AC100" s="0" t="s">
        <v>109</v>
      </c>
    </row>
    <row r="101">
      <c r="A101" s="0" t="s">
        <v>28</v>
      </c>
      <c r="B101" s="0" t="s">
        <v>30</v>
      </c>
      <c r="C101" s="0" t="s">
        <v>125</v>
      </c>
      <c r="D101" s="0" t="s">
        <v>313</v>
      </c>
      <c r="E101" s="0" t="s">
        <v>229</v>
      </c>
      <c r="F101" s="0">
        <v>0</v>
      </c>
      <c r="G101" s="0" t="s">
        <v>106</v>
      </c>
      <c r="H101" s="0">
        <v>0</v>
      </c>
      <c r="I101" s="0">
        <v>0</v>
      </c>
      <c r="J101" s="0">
        <v>0</v>
      </c>
      <c r="K101" s="0">
        <v>0</v>
      </c>
      <c r="L101" s="0">
        <v>0</v>
      </c>
      <c r="M101" s="0">
        <v>0</v>
      </c>
      <c r="N101" s="0" t="b">
        <v>0</v>
      </c>
      <c r="O101" s="2">
        <v>44613.583333333336</v>
      </c>
      <c r="P101" s="2">
        <v>44613.625</v>
      </c>
      <c r="Q101" s="2">
        <v>44613.208333333336</v>
      </c>
      <c r="R101" s="2">
        <v>44613.25</v>
      </c>
      <c r="S101" s="0">
        <v>60</v>
      </c>
      <c r="T101" s="0">
        <v>12</v>
      </c>
      <c r="U101" s="0">
        <v>42</v>
      </c>
      <c r="V101" s="0">
        <v>190</v>
      </c>
      <c r="W101" s="1">
        <f>=HYPERLINK("10.175.1.14\MWEB.12\SEP\EntityDetails.10.175.1.14.MWEB.12.-inet-TotoSi.190.xlsx", "&lt;Detail&gt;")</f>
      </c>
      <c r="X101" s="1">
        <f>=HYPERLINK("10.175.1.14\MWEB.12\SEP\MetricGraphs.SEP.10.175.1.14.MWEB.12.xlsx", "&lt;Metrics&gt;")</f>
      </c>
      <c r="Y101" s="0" t="s">
        <v>107</v>
      </c>
      <c r="Z101" s="0" t="s">
        <v>108</v>
      </c>
      <c r="AA101" s="0" t="s">
        <v>126</v>
      </c>
      <c r="AB101" s="0" t="s">
        <v>712</v>
      </c>
      <c r="AC101" s="0" t="s">
        <v>109</v>
      </c>
    </row>
    <row r="102">
      <c r="A102" s="0" t="s">
        <v>28</v>
      </c>
      <c r="B102" s="0" t="s">
        <v>30</v>
      </c>
      <c r="C102" s="0" t="s">
        <v>131</v>
      </c>
      <c r="D102" s="0" t="s">
        <v>713</v>
      </c>
      <c r="E102" s="0" t="s">
        <v>229</v>
      </c>
      <c r="F102" s="0">
        <v>0</v>
      </c>
      <c r="G102" s="0" t="s">
        <v>106</v>
      </c>
      <c r="H102" s="0">
        <v>0</v>
      </c>
      <c r="I102" s="0">
        <v>0</v>
      </c>
      <c r="J102" s="0">
        <v>0</v>
      </c>
      <c r="K102" s="0">
        <v>0</v>
      </c>
      <c r="L102" s="0">
        <v>0</v>
      </c>
      <c r="M102" s="0">
        <v>0</v>
      </c>
      <c r="N102" s="0" t="b">
        <v>0</v>
      </c>
      <c r="O102" s="2">
        <v>44613.583333333336</v>
      </c>
      <c r="P102" s="2">
        <v>44613.625</v>
      </c>
      <c r="Q102" s="2">
        <v>44613.208333333336</v>
      </c>
      <c r="R102" s="2">
        <v>44613.25</v>
      </c>
      <c r="S102" s="0">
        <v>60</v>
      </c>
      <c r="T102" s="0">
        <v>12</v>
      </c>
      <c r="U102" s="0">
        <v>40</v>
      </c>
      <c r="V102" s="0">
        <v>433</v>
      </c>
      <c r="W102" s="1">
        <f>=HYPERLINK("10.175.1.14\MWEB.12\SEP\EntityDetails.10.175.1.14.MWEB.12.-inet-ufjc.433.xlsx", "&lt;Detail&gt;")</f>
      </c>
      <c r="X102" s="1">
        <f>=HYPERLINK("10.175.1.14\MWEB.12\SEP\MetricGraphs.SEP.10.175.1.14.MWEB.12.xlsx", "&lt;Metrics&gt;")</f>
      </c>
      <c r="Y102" s="0" t="s">
        <v>107</v>
      </c>
      <c r="Z102" s="0" t="s">
        <v>108</v>
      </c>
      <c r="AA102" s="0" t="s">
        <v>132</v>
      </c>
      <c r="AB102" s="0" t="s">
        <v>714</v>
      </c>
      <c r="AC102" s="0" t="s">
        <v>109</v>
      </c>
    </row>
    <row r="103">
      <c r="A103" s="0" t="s">
        <v>28</v>
      </c>
      <c r="B103" s="0" t="s">
        <v>30</v>
      </c>
      <c r="C103" s="0" t="s">
        <v>125</v>
      </c>
      <c r="D103" s="0" t="s">
        <v>315</v>
      </c>
      <c r="E103" s="0" t="s">
        <v>229</v>
      </c>
      <c r="F103" s="0">
        <v>0</v>
      </c>
      <c r="G103" s="0" t="s">
        <v>106</v>
      </c>
      <c r="H103" s="0">
        <v>0</v>
      </c>
      <c r="I103" s="0">
        <v>0</v>
      </c>
      <c r="J103" s="0">
        <v>0</v>
      </c>
      <c r="K103" s="0">
        <v>0</v>
      </c>
      <c r="L103" s="0">
        <v>0</v>
      </c>
      <c r="M103" s="0">
        <v>0</v>
      </c>
      <c r="N103" s="0" t="b">
        <v>0</v>
      </c>
      <c r="O103" s="2">
        <v>44613.583333333336</v>
      </c>
      <c r="P103" s="2">
        <v>44613.625</v>
      </c>
      <c r="Q103" s="2">
        <v>44613.208333333336</v>
      </c>
      <c r="R103" s="2">
        <v>44613.25</v>
      </c>
      <c r="S103" s="0">
        <v>60</v>
      </c>
      <c r="T103" s="0">
        <v>12</v>
      </c>
      <c r="U103" s="0">
        <v>42</v>
      </c>
      <c r="V103" s="0">
        <v>1177</v>
      </c>
      <c r="W103" s="1">
        <f>=HYPERLINK("10.175.1.14\MWEB.12\SEP\EntityDetails.10.175.1.14.MWEB.12.-intruvert-j.1177.xlsx", "&lt;Detail&gt;")</f>
      </c>
      <c r="X103" s="1">
        <f>=HYPERLINK("10.175.1.14\MWEB.12\SEP\MetricGraphs.SEP.10.175.1.14.MWEB.12.xlsx", "&lt;Metrics&gt;")</f>
      </c>
      <c r="Y103" s="0" t="s">
        <v>107</v>
      </c>
      <c r="Z103" s="0" t="s">
        <v>108</v>
      </c>
      <c r="AA103" s="0" t="s">
        <v>126</v>
      </c>
      <c r="AB103" s="0" t="s">
        <v>715</v>
      </c>
      <c r="AC103" s="0" t="s">
        <v>109</v>
      </c>
    </row>
    <row r="104">
      <c r="A104" s="0" t="s">
        <v>28</v>
      </c>
      <c r="B104" s="0" t="s">
        <v>30</v>
      </c>
      <c r="C104" s="0" t="s">
        <v>127</v>
      </c>
      <c r="D104" s="0" t="s">
        <v>315</v>
      </c>
      <c r="E104" s="0" t="s">
        <v>229</v>
      </c>
      <c r="F104" s="0">
        <v>0</v>
      </c>
      <c r="G104" s="0" t="s">
        <v>106</v>
      </c>
      <c r="H104" s="0">
        <v>0</v>
      </c>
      <c r="I104" s="0">
        <v>0</v>
      </c>
      <c r="J104" s="0">
        <v>0</v>
      </c>
      <c r="K104" s="0">
        <v>0</v>
      </c>
      <c r="L104" s="0">
        <v>0</v>
      </c>
      <c r="M104" s="0">
        <v>0</v>
      </c>
      <c r="N104" s="0" t="b">
        <v>0</v>
      </c>
      <c r="O104" s="2">
        <v>44613.583333333336</v>
      </c>
      <c r="P104" s="2">
        <v>44613.625</v>
      </c>
      <c r="Q104" s="2">
        <v>44613.208333333336</v>
      </c>
      <c r="R104" s="2">
        <v>44613.25</v>
      </c>
      <c r="S104" s="0">
        <v>60</v>
      </c>
      <c r="T104" s="0">
        <v>12</v>
      </c>
      <c r="U104" s="0">
        <v>39</v>
      </c>
      <c r="V104" s="0">
        <v>1199</v>
      </c>
      <c r="W104" s="1">
        <f>=HYPERLINK("10.175.1.14\MWEB.12\SEP\EntityDetails.10.175.1.14.MWEB.12.-intruvert-j.1199.xlsx", "&lt;Detail&gt;")</f>
      </c>
      <c r="X104" s="1">
        <f>=HYPERLINK("10.175.1.14\MWEB.12\SEP\MetricGraphs.SEP.10.175.1.14.MWEB.12.xlsx", "&lt;Metrics&gt;")</f>
      </c>
      <c r="Y104" s="0" t="s">
        <v>107</v>
      </c>
      <c r="Z104" s="0" t="s">
        <v>108</v>
      </c>
      <c r="AA104" s="0" t="s">
        <v>128</v>
      </c>
      <c r="AB104" s="0" t="s">
        <v>716</v>
      </c>
      <c r="AC104" s="0" t="s">
        <v>109</v>
      </c>
    </row>
    <row r="105">
      <c r="A105" s="0" t="s">
        <v>28</v>
      </c>
      <c r="B105" s="0" t="s">
        <v>30</v>
      </c>
      <c r="C105" s="0" t="s">
        <v>133</v>
      </c>
      <c r="D105" s="0" t="s">
        <v>315</v>
      </c>
      <c r="E105" s="0" t="s">
        <v>229</v>
      </c>
      <c r="F105" s="0">
        <v>0</v>
      </c>
      <c r="G105" s="0" t="s">
        <v>106</v>
      </c>
      <c r="H105" s="0">
        <v>0</v>
      </c>
      <c r="I105" s="0">
        <v>0</v>
      </c>
      <c r="J105" s="0">
        <v>0</v>
      </c>
      <c r="K105" s="0">
        <v>0</v>
      </c>
      <c r="L105" s="0">
        <v>0</v>
      </c>
      <c r="M105" s="0">
        <v>0</v>
      </c>
      <c r="N105" s="0" t="b">
        <v>0</v>
      </c>
      <c r="O105" s="2">
        <v>44613.583333333336</v>
      </c>
      <c r="P105" s="2">
        <v>44613.625</v>
      </c>
      <c r="Q105" s="2">
        <v>44613.208333333336</v>
      </c>
      <c r="R105" s="2">
        <v>44613.25</v>
      </c>
      <c r="S105" s="0">
        <v>60</v>
      </c>
      <c r="T105" s="0">
        <v>12</v>
      </c>
      <c r="U105" s="0">
        <v>36</v>
      </c>
      <c r="V105" s="0">
        <v>1224</v>
      </c>
      <c r="W105" s="1">
        <f>=HYPERLINK("10.175.1.14\MWEB.12\SEP\EntityDetails.10.175.1.14.MWEB.12.-intruvert-j.1224.xlsx", "&lt;Detail&gt;")</f>
      </c>
      <c r="X105" s="1">
        <f>=HYPERLINK("10.175.1.14\MWEB.12\SEP\MetricGraphs.SEP.10.175.1.14.MWEB.12.xlsx", "&lt;Metrics&gt;")</f>
      </c>
      <c r="Y105" s="0" t="s">
        <v>107</v>
      </c>
      <c r="Z105" s="0" t="s">
        <v>108</v>
      </c>
      <c r="AA105" s="0" t="s">
        <v>134</v>
      </c>
      <c r="AB105" s="0" t="s">
        <v>717</v>
      </c>
      <c r="AC105" s="0" t="s">
        <v>109</v>
      </c>
    </row>
    <row r="106">
      <c r="A106" s="0" t="s">
        <v>28</v>
      </c>
      <c r="B106" s="0" t="s">
        <v>30</v>
      </c>
      <c r="C106" s="0" t="s">
        <v>125</v>
      </c>
      <c r="D106" s="0" t="s">
        <v>317</v>
      </c>
      <c r="E106" s="0" t="s">
        <v>229</v>
      </c>
      <c r="F106" s="0">
        <v>0</v>
      </c>
      <c r="G106" s="0" t="s">
        <v>106</v>
      </c>
      <c r="H106" s="0">
        <v>0</v>
      </c>
      <c r="I106" s="0">
        <v>0</v>
      </c>
      <c r="J106" s="0">
        <v>0</v>
      </c>
      <c r="K106" s="0">
        <v>0</v>
      </c>
      <c r="L106" s="0">
        <v>0</v>
      </c>
      <c r="M106" s="0">
        <v>0</v>
      </c>
      <c r="N106" s="0" t="b">
        <v>0</v>
      </c>
      <c r="O106" s="2">
        <v>44613.583333333336</v>
      </c>
      <c r="P106" s="2">
        <v>44613.625</v>
      </c>
      <c r="Q106" s="2">
        <v>44613.208333333336</v>
      </c>
      <c r="R106" s="2">
        <v>44613.25</v>
      </c>
      <c r="S106" s="0">
        <v>60</v>
      </c>
      <c r="T106" s="0">
        <v>12</v>
      </c>
      <c r="U106" s="0">
        <v>42</v>
      </c>
      <c r="V106" s="0">
        <v>202</v>
      </c>
      <c r="W106" s="1">
        <f>=HYPERLINK("10.175.1.14\MWEB.12\SEP\EntityDetails.10.175.1.14.MWEB.12.-IPJSETTLEME.202.xlsx", "&lt;Detail&gt;")</f>
      </c>
      <c r="X106" s="1">
        <f>=HYPERLINK("10.175.1.14\MWEB.12\SEP\MetricGraphs.SEP.10.175.1.14.MWEB.12.xlsx", "&lt;Metrics&gt;")</f>
      </c>
      <c r="Y106" s="0" t="s">
        <v>107</v>
      </c>
      <c r="Z106" s="0" t="s">
        <v>108</v>
      </c>
      <c r="AA106" s="0" t="s">
        <v>126</v>
      </c>
      <c r="AB106" s="0" t="s">
        <v>718</v>
      </c>
      <c r="AC106" s="0" t="s">
        <v>109</v>
      </c>
    </row>
    <row r="107">
      <c r="A107" s="0" t="s">
        <v>28</v>
      </c>
      <c r="B107" s="0" t="s">
        <v>30</v>
      </c>
      <c r="C107" s="0" t="s">
        <v>133</v>
      </c>
      <c r="D107" s="0" t="s">
        <v>317</v>
      </c>
      <c r="E107" s="0" t="s">
        <v>229</v>
      </c>
      <c r="F107" s="0">
        <v>0</v>
      </c>
      <c r="G107" s="0" t="s">
        <v>106</v>
      </c>
      <c r="H107" s="0">
        <v>0</v>
      </c>
      <c r="I107" s="0">
        <v>0</v>
      </c>
      <c r="J107" s="0">
        <v>0</v>
      </c>
      <c r="K107" s="0">
        <v>0</v>
      </c>
      <c r="L107" s="0">
        <v>0</v>
      </c>
      <c r="M107" s="0">
        <v>0</v>
      </c>
      <c r="N107" s="0" t="b">
        <v>0</v>
      </c>
      <c r="O107" s="2">
        <v>44613.583333333336</v>
      </c>
      <c r="P107" s="2">
        <v>44613.625</v>
      </c>
      <c r="Q107" s="2">
        <v>44613.208333333336</v>
      </c>
      <c r="R107" s="2">
        <v>44613.25</v>
      </c>
      <c r="S107" s="0">
        <v>60</v>
      </c>
      <c r="T107" s="0">
        <v>12</v>
      </c>
      <c r="U107" s="0">
        <v>36</v>
      </c>
      <c r="V107" s="0">
        <v>401</v>
      </c>
      <c r="W107" s="1">
        <f>=HYPERLINK("10.175.1.14\MWEB.12\SEP\EntityDetails.10.175.1.14.MWEB.12.-IPJSETTLEME.401.xlsx", "&lt;Detail&gt;")</f>
      </c>
      <c r="X107" s="1">
        <f>=HYPERLINK("10.175.1.14\MWEB.12\SEP\MetricGraphs.SEP.10.175.1.14.MWEB.12.xlsx", "&lt;Metrics&gt;")</f>
      </c>
      <c r="Y107" s="0" t="s">
        <v>107</v>
      </c>
      <c r="Z107" s="0" t="s">
        <v>108</v>
      </c>
      <c r="AA107" s="0" t="s">
        <v>134</v>
      </c>
      <c r="AB107" s="0" t="s">
        <v>719</v>
      </c>
      <c r="AC107" s="0" t="s">
        <v>109</v>
      </c>
    </row>
    <row r="108">
      <c r="A108" s="0" t="s">
        <v>28</v>
      </c>
      <c r="B108" s="0" t="s">
        <v>30</v>
      </c>
      <c r="C108" s="0" t="s">
        <v>143</v>
      </c>
      <c r="D108" s="0" t="s">
        <v>317</v>
      </c>
      <c r="E108" s="0" t="s">
        <v>229</v>
      </c>
      <c r="F108" s="0">
        <v>0</v>
      </c>
      <c r="G108" s="0" t="s">
        <v>106</v>
      </c>
      <c r="H108" s="0">
        <v>0</v>
      </c>
      <c r="I108" s="0">
        <v>0</v>
      </c>
      <c r="J108" s="0">
        <v>0</v>
      </c>
      <c r="K108" s="0">
        <v>0</v>
      </c>
      <c r="L108" s="0">
        <v>0</v>
      </c>
      <c r="M108" s="0">
        <v>0</v>
      </c>
      <c r="N108" s="0" t="b">
        <v>0</v>
      </c>
      <c r="O108" s="2">
        <v>44613.583333333336</v>
      </c>
      <c r="P108" s="2">
        <v>44613.625</v>
      </c>
      <c r="Q108" s="2">
        <v>44613.208333333336</v>
      </c>
      <c r="R108" s="2">
        <v>44613.25</v>
      </c>
      <c r="S108" s="0">
        <v>60</v>
      </c>
      <c r="T108" s="0">
        <v>12</v>
      </c>
      <c r="U108" s="0">
        <v>43</v>
      </c>
      <c r="V108" s="0">
        <v>95</v>
      </c>
      <c r="W108" s="1">
        <f>=HYPERLINK("10.175.1.14\MWEB.12\SEP\EntityDetails.10.175.1.14.MWEB.12.-IPJSETTLEME.95.xlsx", "&lt;Detail&gt;")</f>
      </c>
      <c r="X108" s="1">
        <f>=HYPERLINK("10.175.1.14\MWEB.12\SEP\MetricGraphs.SEP.10.175.1.14.MWEB.12.xlsx", "&lt;Metrics&gt;")</f>
      </c>
      <c r="Y108" s="0" t="s">
        <v>107</v>
      </c>
      <c r="Z108" s="0" t="s">
        <v>108</v>
      </c>
      <c r="AA108" s="0" t="s">
        <v>144</v>
      </c>
      <c r="AB108" s="0" t="s">
        <v>720</v>
      </c>
      <c r="AC108" s="0" t="s">
        <v>109</v>
      </c>
    </row>
    <row r="109">
      <c r="A109" s="0" t="s">
        <v>28</v>
      </c>
      <c r="B109" s="0" t="s">
        <v>30</v>
      </c>
      <c r="C109" s="0" t="s">
        <v>163</v>
      </c>
      <c r="D109" s="0" t="s">
        <v>317</v>
      </c>
      <c r="E109" s="0" t="s">
        <v>229</v>
      </c>
      <c r="F109" s="0">
        <v>0</v>
      </c>
      <c r="G109" s="0" t="s">
        <v>106</v>
      </c>
      <c r="H109" s="0">
        <v>0</v>
      </c>
      <c r="I109" s="0">
        <v>0</v>
      </c>
      <c r="J109" s="0">
        <v>0</v>
      </c>
      <c r="K109" s="0">
        <v>0</v>
      </c>
      <c r="L109" s="0">
        <v>0</v>
      </c>
      <c r="M109" s="0">
        <v>0</v>
      </c>
      <c r="N109" s="0" t="b">
        <v>0</v>
      </c>
      <c r="O109" s="2">
        <v>44613.583333333336</v>
      </c>
      <c r="P109" s="2">
        <v>44613.625</v>
      </c>
      <c r="Q109" s="2">
        <v>44613.208333333336</v>
      </c>
      <c r="R109" s="2">
        <v>44613.25</v>
      </c>
      <c r="S109" s="0">
        <v>60</v>
      </c>
      <c r="T109" s="0">
        <v>12</v>
      </c>
      <c r="U109" s="0">
        <v>55</v>
      </c>
      <c r="V109" s="0">
        <v>2055</v>
      </c>
      <c r="W109" s="1">
        <f>=HYPERLINK("10.175.1.14\MWEB.12\SEP\EntityDetails.10.175.1.14.MWEB.12.-IPJSETTLEME.2055.xlsx", "&lt;Detail&gt;")</f>
      </c>
      <c r="X109" s="1">
        <f>=HYPERLINK("10.175.1.14\MWEB.12\SEP\MetricGraphs.SEP.10.175.1.14.MWEB.12.xlsx", "&lt;Metrics&gt;")</f>
      </c>
      <c r="Y109" s="0" t="s">
        <v>107</v>
      </c>
      <c r="Z109" s="0" t="s">
        <v>108</v>
      </c>
      <c r="AA109" s="0" t="s">
        <v>164</v>
      </c>
      <c r="AB109" s="0" t="s">
        <v>721</v>
      </c>
      <c r="AC109" s="0" t="s">
        <v>109</v>
      </c>
    </row>
    <row r="110">
      <c r="A110" s="0" t="s">
        <v>28</v>
      </c>
      <c r="B110" s="0" t="s">
        <v>30</v>
      </c>
      <c r="C110" s="0" t="s">
        <v>125</v>
      </c>
      <c r="D110" s="0" t="s">
        <v>322</v>
      </c>
      <c r="E110" s="0" t="s">
        <v>229</v>
      </c>
      <c r="F110" s="0">
        <v>0</v>
      </c>
      <c r="G110" s="0" t="s">
        <v>106</v>
      </c>
      <c r="H110" s="0">
        <v>0</v>
      </c>
      <c r="I110" s="0">
        <v>0</v>
      </c>
      <c r="J110" s="0">
        <v>0</v>
      </c>
      <c r="K110" s="0">
        <v>0</v>
      </c>
      <c r="L110" s="0">
        <v>0</v>
      </c>
      <c r="M110" s="0">
        <v>0</v>
      </c>
      <c r="N110" s="0" t="b">
        <v>0</v>
      </c>
      <c r="O110" s="2">
        <v>44613.583333333336</v>
      </c>
      <c r="P110" s="2">
        <v>44613.625</v>
      </c>
      <c r="Q110" s="2">
        <v>44613.208333333336</v>
      </c>
      <c r="R110" s="2">
        <v>44613.25</v>
      </c>
      <c r="S110" s="0">
        <v>60</v>
      </c>
      <c r="T110" s="0">
        <v>12</v>
      </c>
      <c r="U110" s="0">
        <v>42</v>
      </c>
      <c r="V110" s="0">
        <v>216</v>
      </c>
      <c r="W110" s="1">
        <f>=HYPERLINK("10.175.1.14\MWEB.12\SEP\EntityDetails.10.175.1.14.MWEB.12.-JConnect-ac.216.xlsx", "&lt;Detail&gt;")</f>
      </c>
      <c r="X110" s="1">
        <f>=HYPERLINK("10.175.1.14\MWEB.12\SEP\MetricGraphs.SEP.10.175.1.14.MWEB.12.xlsx", "&lt;Metrics&gt;")</f>
      </c>
      <c r="Y110" s="0" t="s">
        <v>107</v>
      </c>
      <c r="Z110" s="0" t="s">
        <v>108</v>
      </c>
      <c r="AA110" s="0" t="s">
        <v>126</v>
      </c>
      <c r="AB110" s="0" t="s">
        <v>722</v>
      </c>
      <c r="AC110" s="0" t="s">
        <v>109</v>
      </c>
    </row>
    <row r="111">
      <c r="A111" s="0" t="s">
        <v>28</v>
      </c>
      <c r="B111" s="0" t="s">
        <v>30</v>
      </c>
      <c r="C111" s="0" t="s">
        <v>133</v>
      </c>
      <c r="D111" s="0" t="s">
        <v>322</v>
      </c>
      <c r="E111" s="0" t="s">
        <v>229</v>
      </c>
      <c r="F111" s="0">
        <v>0</v>
      </c>
      <c r="G111" s="0" t="s">
        <v>106</v>
      </c>
      <c r="H111" s="0">
        <v>0</v>
      </c>
      <c r="I111" s="0">
        <v>0</v>
      </c>
      <c r="J111" s="0">
        <v>0</v>
      </c>
      <c r="K111" s="0">
        <v>0</v>
      </c>
      <c r="L111" s="0">
        <v>0</v>
      </c>
      <c r="M111" s="0">
        <v>0</v>
      </c>
      <c r="N111" s="0" t="b">
        <v>0</v>
      </c>
      <c r="O111" s="2">
        <v>44613.583333333336</v>
      </c>
      <c r="P111" s="2">
        <v>44613.625</v>
      </c>
      <c r="Q111" s="2">
        <v>44613.208333333336</v>
      </c>
      <c r="R111" s="2">
        <v>44613.25</v>
      </c>
      <c r="S111" s="0">
        <v>60</v>
      </c>
      <c r="T111" s="0">
        <v>12</v>
      </c>
      <c r="U111" s="0">
        <v>36</v>
      </c>
      <c r="V111" s="0">
        <v>397</v>
      </c>
      <c r="W111" s="1">
        <f>=HYPERLINK("10.175.1.14\MWEB.12\SEP\EntityDetails.10.175.1.14.MWEB.12.-JConnect-ac.397.xlsx", "&lt;Detail&gt;")</f>
      </c>
      <c r="X111" s="1">
        <f>=HYPERLINK("10.175.1.14\MWEB.12\SEP\MetricGraphs.SEP.10.175.1.14.MWEB.12.xlsx", "&lt;Metrics&gt;")</f>
      </c>
      <c r="Y111" s="0" t="s">
        <v>107</v>
      </c>
      <c r="Z111" s="0" t="s">
        <v>108</v>
      </c>
      <c r="AA111" s="0" t="s">
        <v>134</v>
      </c>
      <c r="AB111" s="0" t="s">
        <v>723</v>
      </c>
      <c r="AC111" s="0" t="s">
        <v>109</v>
      </c>
    </row>
    <row r="112">
      <c r="A112" s="0" t="s">
        <v>28</v>
      </c>
      <c r="B112" s="0" t="s">
        <v>30</v>
      </c>
      <c r="C112" s="0" t="s">
        <v>125</v>
      </c>
      <c r="D112" s="0" t="s">
        <v>724</v>
      </c>
      <c r="E112" s="0" t="s">
        <v>229</v>
      </c>
      <c r="F112" s="0">
        <v>0</v>
      </c>
      <c r="G112" s="0" t="s">
        <v>106</v>
      </c>
      <c r="H112" s="0">
        <v>0</v>
      </c>
      <c r="I112" s="0">
        <v>0</v>
      </c>
      <c r="J112" s="0">
        <v>0</v>
      </c>
      <c r="K112" s="0">
        <v>0</v>
      </c>
      <c r="L112" s="0">
        <v>0</v>
      </c>
      <c r="M112" s="0">
        <v>0</v>
      </c>
      <c r="N112" s="0" t="b">
        <v>0</v>
      </c>
      <c r="O112" s="2">
        <v>44613.583333333336</v>
      </c>
      <c r="P112" s="2">
        <v>44613.625</v>
      </c>
      <c r="Q112" s="2">
        <v>44613.208333333336</v>
      </c>
      <c r="R112" s="2">
        <v>44613.25</v>
      </c>
      <c r="S112" s="0">
        <v>60</v>
      </c>
      <c r="T112" s="0">
        <v>12</v>
      </c>
      <c r="U112" s="0">
        <v>42</v>
      </c>
      <c r="V112" s="0">
        <v>1186</v>
      </c>
      <c r="W112" s="1">
        <f>=HYPERLINK("10.175.1.14\MWEB.12\SEP\EntityDetails.10.175.1.14.MWEB.12.-k5ouo4k7.js.1186.xlsx", "&lt;Detail&gt;")</f>
      </c>
      <c r="X112" s="1">
        <f>=HYPERLINK("10.175.1.14\MWEB.12\SEP\MetricGraphs.SEP.10.175.1.14.MWEB.12.xlsx", "&lt;Metrics&gt;")</f>
      </c>
      <c r="Y112" s="0" t="s">
        <v>107</v>
      </c>
      <c r="Z112" s="0" t="s">
        <v>108</v>
      </c>
      <c r="AA112" s="0" t="s">
        <v>126</v>
      </c>
      <c r="AB112" s="0" t="s">
        <v>725</v>
      </c>
      <c r="AC112" s="0" t="s">
        <v>109</v>
      </c>
    </row>
    <row r="113">
      <c r="A113" s="0" t="s">
        <v>28</v>
      </c>
      <c r="B113" s="0" t="s">
        <v>30</v>
      </c>
      <c r="C113" s="0" t="s">
        <v>125</v>
      </c>
      <c r="D113" s="0" t="s">
        <v>726</v>
      </c>
      <c r="E113" s="0" t="s">
        <v>229</v>
      </c>
      <c r="F113" s="0">
        <v>0</v>
      </c>
      <c r="G113" s="0" t="s">
        <v>106</v>
      </c>
      <c r="H113" s="0">
        <v>0</v>
      </c>
      <c r="I113" s="0">
        <v>0</v>
      </c>
      <c r="J113" s="0">
        <v>0</v>
      </c>
      <c r="K113" s="0">
        <v>0</v>
      </c>
      <c r="L113" s="0">
        <v>0</v>
      </c>
      <c r="M113" s="0">
        <v>0</v>
      </c>
      <c r="N113" s="0" t="b">
        <v>0</v>
      </c>
      <c r="O113" s="2">
        <v>44613.583333333336</v>
      </c>
      <c r="P113" s="2">
        <v>44613.625</v>
      </c>
      <c r="Q113" s="2">
        <v>44613.208333333336</v>
      </c>
      <c r="R113" s="2">
        <v>44613.25</v>
      </c>
      <c r="S113" s="0">
        <v>60</v>
      </c>
      <c r="T113" s="0">
        <v>12</v>
      </c>
      <c r="U113" s="0">
        <v>42</v>
      </c>
      <c r="V113" s="0">
        <v>1190</v>
      </c>
      <c r="W113" s="1">
        <f>=HYPERLINK("10.175.1.14\MWEB.12\SEP\EntityDetails.10.175.1.14.MWEB.12.-login.jsp.1190.xlsx", "&lt;Detail&gt;")</f>
      </c>
      <c r="X113" s="1">
        <f>=HYPERLINK("10.175.1.14\MWEB.12\SEP\MetricGraphs.SEP.10.175.1.14.MWEB.12.xlsx", "&lt;Metrics&gt;")</f>
      </c>
      <c r="Y113" s="0" t="s">
        <v>107</v>
      </c>
      <c r="Z113" s="0" t="s">
        <v>108</v>
      </c>
      <c r="AA113" s="0" t="s">
        <v>126</v>
      </c>
      <c r="AB113" s="0" t="s">
        <v>727</v>
      </c>
      <c r="AC113" s="0" t="s">
        <v>109</v>
      </c>
    </row>
    <row r="114">
      <c r="A114" s="0" t="s">
        <v>28</v>
      </c>
      <c r="B114" s="0" t="s">
        <v>30</v>
      </c>
      <c r="C114" s="0" t="s">
        <v>127</v>
      </c>
      <c r="D114" s="0" t="s">
        <v>726</v>
      </c>
      <c r="E114" s="0" t="s">
        <v>229</v>
      </c>
      <c r="F114" s="0">
        <v>0</v>
      </c>
      <c r="G114" s="0" t="s">
        <v>106</v>
      </c>
      <c r="H114" s="0">
        <v>0</v>
      </c>
      <c r="I114" s="0">
        <v>0</v>
      </c>
      <c r="J114" s="0">
        <v>0</v>
      </c>
      <c r="K114" s="0">
        <v>0</v>
      </c>
      <c r="L114" s="0">
        <v>0</v>
      </c>
      <c r="M114" s="0">
        <v>0</v>
      </c>
      <c r="N114" s="0" t="b">
        <v>0</v>
      </c>
      <c r="O114" s="2">
        <v>44613.583333333336</v>
      </c>
      <c r="P114" s="2">
        <v>44613.625</v>
      </c>
      <c r="Q114" s="2">
        <v>44613.208333333336</v>
      </c>
      <c r="R114" s="2">
        <v>44613.25</v>
      </c>
      <c r="S114" s="0">
        <v>60</v>
      </c>
      <c r="T114" s="0">
        <v>12</v>
      </c>
      <c r="U114" s="0">
        <v>39</v>
      </c>
      <c r="V114" s="0">
        <v>1205</v>
      </c>
      <c r="W114" s="1">
        <f>=HYPERLINK("10.175.1.14\MWEB.12\SEP\EntityDetails.10.175.1.14.MWEB.12.-login.jsp.1205.xlsx", "&lt;Detail&gt;")</f>
      </c>
      <c r="X114" s="1">
        <f>=HYPERLINK("10.175.1.14\MWEB.12\SEP\MetricGraphs.SEP.10.175.1.14.MWEB.12.xlsx", "&lt;Metrics&gt;")</f>
      </c>
      <c r="Y114" s="0" t="s">
        <v>107</v>
      </c>
      <c r="Z114" s="0" t="s">
        <v>108</v>
      </c>
      <c r="AA114" s="0" t="s">
        <v>128</v>
      </c>
      <c r="AB114" s="0" t="s">
        <v>728</v>
      </c>
      <c r="AC114" s="0" t="s">
        <v>109</v>
      </c>
    </row>
    <row r="115">
      <c r="A115" s="0" t="s">
        <v>28</v>
      </c>
      <c r="B115" s="0" t="s">
        <v>30</v>
      </c>
      <c r="C115" s="0" t="s">
        <v>133</v>
      </c>
      <c r="D115" s="0" t="s">
        <v>726</v>
      </c>
      <c r="E115" s="0" t="s">
        <v>229</v>
      </c>
      <c r="F115" s="0">
        <v>0</v>
      </c>
      <c r="G115" s="0" t="s">
        <v>106</v>
      </c>
      <c r="H115" s="0">
        <v>0</v>
      </c>
      <c r="I115" s="0">
        <v>0</v>
      </c>
      <c r="J115" s="0">
        <v>0</v>
      </c>
      <c r="K115" s="0">
        <v>0</v>
      </c>
      <c r="L115" s="0">
        <v>0</v>
      </c>
      <c r="M115" s="0">
        <v>0</v>
      </c>
      <c r="N115" s="0" t="b">
        <v>0</v>
      </c>
      <c r="O115" s="2">
        <v>44613.583333333336</v>
      </c>
      <c r="P115" s="2">
        <v>44613.625</v>
      </c>
      <c r="Q115" s="2">
        <v>44613.208333333336</v>
      </c>
      <c r="R115" s="2">
        <v>44613.25</v>
      </c>
      <c r="S115" s="0">
        <v>60</v>
      </c>
      <c r="T115" s="0">
        <v>12</v>
      </c>
      <c r="U115" s="0">
        <v>36</v>
      </c>
      <c r="V115" s="0">
        <v>1239</v>
      </c>
      <c r="W115" s="1">
        <f>=HYPERLINK("10.175.1.14\MWEB.12\SEP\EntityDetails.10.175.1.14.MWEB.12.-login.jsp.1239.xlsx", "&lt;Detail&gt;")</f>
      </c>
      <c r="X115" s="1">
        <f>=HYPERLINK("10.175.1.14\MWEB.12\SEP\MetricGraphs.SEP.10.175.1.14.MWEB.12.xlsx", "&lt;Metrics&gt;")</f>
      </c>
      <c r="Y115" s="0" t="s">
        <v>107</v>
      </c>
      <c r="Z115" s="0" t="s">
        <v>108</v>
      </c>
      <c r="AA115" s="0" t="s">
        <v>134</v>
      </c>
      <c r="AB115" s="0" t="s">
        <v>729</v>
      </c>
      <c r="AC115" s="0" t="s">
        <v>109</v>
      </c>
    </row>
    <row r="116">
      <c r="A116" s="0" t="s">
        <v>28</v>
      </c>
      <c r="B116" s="0" t="s">
        <v>30</v>
      </c>
      <c r="C116" s="0" t="s">
        <v>125</v>
      </c>
      <c r="D116" s="0" t="s">
        <v>730</v>
      </c>
      <c r="E116" s="0" t="s">
        <v>229</v>
      </c>
      <c r="F116" s="0">
        <v>0</v>
      </c>
      <c r="G116" s="0" t="s">
        <v>106</v>
      </c>
      <c r="H116" s="0">
        <v>0</v>
      </c>
      <c r="I116" s="0">
        <v>0</v>
      </c>
      <c r="J116" s="0">
        <v>0</v>
      </c>
      <c r="K116" s="0">
        <v>0</v>
      </c>
      <c r="L116" s="0">
        <v>0</v>
      </c>
      <c r="M116" s="0">
        <v>0</v>
      </c>
      <c r="N116" s="0" t="b">
        <v>0</v>
      </c>
      <c r="O116" s="2">
        <v>44613.583333333336</v>
      </c>
      <c r="P116" s="2">
        <v>44613.625</v>
      </c>
      <c r="Q116" s="2">
        <v>44613.208333333336</v>
      </c>
      <c r="R116" s="2">
        <v>44613.25</v>
      </c>
      <c r="S116" s="0">
        <v>60</v>
      </c>
      <c r="T116" s="0">
        <v>12</v>
      </c>
      <c r="U116" s="0">
        <v>42</v>
      </c>
      <c r="V116" s="0">
        <v>1193</v>
      </c>
      <c r="W116" s="1">
        <f>=HYPERLINK("10.175.1.14\MWEB.12\SEP\EntityDetails.10.175.1.14.MWEB.12.-logon.jsp.1193.xlsx", "&lt;Detail&gt;")</f>
      </c>
      <c r="X116" s="1">
        <f>=HYPERLINK("10.175.1.14\MWEB.12\SEP\MetricGraphs.SEP.10.175.1.14.MWEB.12.xlsx", "&lt;Metrics&gt;")</f>
      </c>
      <c r="Y116" s="0" t="s">
        <v>107</v>
      </c>
      <c r="Z116" s="0" t="s">
        <v>108</v>
      </c>
      <c r="AA116" s="0" t="s">
        <v>126</v>
      </c>
      <c r="AB116" s="0" t="s">
        <v>731</v>
      </c>
      <c r="AC116" s="0" t="s">
        <v>109</v>
      </c>
    </row>
    <row r="117">
      <c r="A117" s="0" t="s">
        <v>28</v>
      </c>
      <c r="B117" s="0" t="s">
        <v>30</v>
      </c>
      <c r="C117" s="0" t="s">
        <v>127</v>
      </c>
      <c r="D117" s="0" t="s">
        <v>730</v>
      </c>
      <c r="E117" s="0" t="s">
        <v>229</v>
      </c>
      <c r="F117" s="0">
        <v>0</v>
      </c>
      <c r="G117" s="0" t="s">
        <v>106</v>
      </c>
      <c r="H117" s="0">
        <v>0</v>
      </c>
      <c r="I117" s="0">
        <v>0</v>
      </c>
      <c r="J117" s="0">
        <v>0</v>
      </c>
      <c r="K117" s="0">
        <v>0</v>
      </c>
      <c r="L117" s="0">
        <v>0</v>
      </c>
      <c r="M117" s="0">
        <v>0</v>
      </c>
      <c r="N117" s="0" t="b">
        <v>0</v>
      </c>
      <c r="O117" s="2">
        <v>44613.583333333336</v>
      </c>
      <c r="P117" s="2">
        <v>44613.625</v>
      </c>
      <c r="Q117" s="2">
        <v>44613.208333333336</v>
      </c>
      <c r="R117" s="2">
        <v>44613.25</v>
      </c>
      <c r="S117" s="0">
        <v>60</v>
      </c>
      <c r="T117" s="0">
        <v>12</v>
      </c>
      <c r="U117" s="0">
        <v>39</v>
      </c>
      <c r="V117" s="0">
        <v>1208</v>
      </c>
      <c r="W117" s="1">
        <f>=HYPERLINK("10.175.1.14\MWEB.12\SEP\EntityDetails.10.175.1.14.MWEB.12.-logon.jsp.1208.xlsx", "&lt;Detail&gt;")</f>
      </c>
      <c r="X117" s="1">
        <f>=HYPERLINK("10.175.1.14\MWEB.12\SEP\MetricGraphs.SEP.10.175.1.14.MWEB.12.xlsx", "&lt;Metrics&gt;")</f>
      </c>
      <c r="Y117" s="0" t="s">
        <v>107</v>
      </c>
      <c r="Z117" s="0" t="s">
        <v>108</v>
      </c>
      <c r="AA117" s="0" t="s">
        <v>128</v>
      </c>
      <c r="AB117" s="0" t="s">
        <v>732</v>
      </c>
      <c r="AC117" s="0" t="s">
        <v>109</v>
      </c>
    </row>
    <row r="118">
      <c r="A118" s="0" t="s">
        <v>28</v>
      </c>
      <c r="B118" s="0" t="s">
        <v>30</v>
      </c>
      <c r="C118" s="0" t="s">
        <v>133</v>
      </c>
      <c r="D118" s="0" t="s">
        <v>730</v>
      </c>
      <c r="E118" s="0" t="s">
        <v>229</v>
      </c>
      <c r="F118" s="0">
        <v>0</v>
      </c>
      <c r="G118" s="0" t="s">
        <v>106</v>
      </c>
      <c r="H118" s="0">
        <v>0</v>
      </c>
      <c r="I118" s="0">
        <v>0</v>
      </c>
      <c r="J118" s="0">
        <v>0</v>
      </c>
      <c r="K118" s="0">
        <v>0</v>
      </c>
      <c r="L118" s="0">
        <v>0</v>
      </c>
      <c r="M118" s="0">
        <v>0</v>
      </c>
      <c r="N118" s="0" t="b">
        <v>0</v>
      </c>
      <c r="O118" s="2">
        <v>44613.583333333336</v>
      </c>
      <c r="P118" s="2">
        <v>44613.625</v>
      </c>
      <c r="Q118" s="2">
        <v>44613.208333333336</v>
      </c>
      <c r="R118" s="2">
        <v>44613.25</v>
      </c>
      <c r="S118" s="0">
        <v>60</v>
      </c>
      <c r="T118" s="0">
        <v>12</v>
      </c>
      <c r="U118" s="0">
        <v>36</v>
      </c>
      <c r="V118" s="0">
        <v>1243</v>
      </c>
      <c r="W118" s="1">
        <f>=HYPERLINK("10.175.1.14\MWEB.12\SEP\EntityDetails.10.175.1.14.MWEB.12.-logon.jsp.1243.xlsx", "&lt;Detail&gt;")</f>
      </c>
      <c r="X118" s="1">
        <f>=HYPERLINK("10.175.1.14\MWEB.12\SEP\MetricGraphs.SEP.10.175.1.14.MWEB.12.xlsx", "&lt;Metrics&gt;")</f>
      </c>
      <c r="Y118" s="0" t="s">
        <v>107</v>
      </c>
      <c r="Z118" s="0" t="s">
        <v>108</v>
      </c>
      <c r="AA118" s="0" t="s">
        <v>134</v>
      </c>
      <c r="AB118" s="0" t="s">
        <v>733</v>
      </c>
      <c r="AC118" s="0" t="s">
        <v>109</v>
      </c>
    </row>
    <row r="119">
      <c r="A119" s="0" t="s">
        <v>28</v>
      </c>
      <c r="B119" s="0" t="s">
        <v>30</v>
      </c>
      <c r="C119" s="0" t="s">
        <v>125</v>
      </c>
      <c r="D119" s="0" t="s">
        <v>327</v>
      </c>
      <c r="E119" s="0" t="s">
        <v>229</v>
      </c>
      <c r="F119" s="0">
        <v>0</v>
      </c>
      <c r="G119" s="0" t="s">
        <v>106</v>
      </c>
      <c r="H119" s="0">
        <v>0</v>
      </c>
      <c r="I119" s="0">
        <v>0</v>
      </c>
      <c r="J119" s="0">
        <v>0</v>
      </c>
      <c r="K119" s="0">
        <v>0</v>
      </c>
      <c r="L119" s="0">
        <v>0</v>
      </c>
      <c r="M119" s="0">
        <v>0</v>
      </c>
      <c r="N119" s="0" t="b">
        <v>0</v>
      </c>
      <c r="O119" s="2">
        <v>44613.583333333336</v>
      </c>
      <c r="P119" s="2">
        <v>44613.625</v>
      </c>
      <c r="Q119" s="2">
        <v>44613.208333333336</v>
      </c>
      <c r="R119" s="2">
        <v>44613.25</v>
      </c>
      <c r="S119" s="0">
        <v>60</v>
      </c>
      <c r="T119" s="0">
        <v>12</v>
      </c>
      <c r="U119" s="0">
        <v>42</v>
      </c>
      <c r="V119" s="0">
        <v>148</v>
      </c>
      <c r="W119" s="1">
        <f>=HYPERLINK("10.175.1.14\MWEB.12\SEP\EntityDetails.10.175.1.14.MWEB.12.-management-.148.xlsx", "&lt;Detail&gt;")</f>
      </c>
      <c r="X119" s="1">
        <f>=HYPERLINK("10.175.1.14\MWEB.12\SEP\MetricGraphs.SEP.10.175.1.14.MWEB.12.xlsx", "&lt;Metrics&gt;")</f>
      </c>
      <c r="Y119" s="0" t="s">
        <v>107</v>
      </c>
      <c r="Z119" s="0" t="s">
        <v>108</v>
      </c>
      <c r="AA119" s="0" t="s">
        <v>126</v>
      </c>
      <c r="AB119" s="0" t="s">
        <v>734</v>
      </c>
      <c r="AC119" s="0" t="s">
        <v>109</v>
      </c>
    </row>
    <row r="120">
      <c r="A120" s="0" t="s">
        <v>28</v>
      </c>
      <c r="B120" s="0" t="s">
        <v>30</v>
      </c>
      <c r="C120" s="0" t="s">
        <v>127</v>
      </c>
      <c r="D120" s="0" t="s">
        <v>327</v>
      </c>
      <c r="E120" s="0" t="s">
        <v>229</v>
      </c>
      <c r="F120" s="0">
        <v>0</v>
      </c>
      <c r="G120" s="0" t="s">
        <v>106</v>
      </c>
      <c r="H120" s="0">
        <v>0</v>
      </c>
      <c r="I120" s="0">
        <v>0</v>
      </c>
      <c r="J120" s="0">
        <v>0</v>
      </c>
      <c r="K120" s="0">
        <v>0</v>
      </c>
      <c r="L120" s="0">
        <v>0</v>
      </c>
      <c r="M120" s="0">
        <v>0</v>
      </c>
      <c r="N120" s="0" t="b">
        <v>0</v>
      </c>
      <c r="O120" s="2">
        <v>44613.583333333336</v>
      </c>
      <c r="P120" s="2">
        <v>44613.625</v>
      </c>
      <c r="Q120" s="2">
        <v>44613.208333333336</v>
      </c>
      <c r="R120" s="2">
        <v>44613.25</v>
      </c>
      <c r="S120" s="0">
        <v>60</v>
      </c>
      <c r="T120" s="0">
        <v>12</v>
      </c>
      <c r="U120" s="0">
        <v>39</v>
      </c>
      <c r="V120" s="0">
        <v>102</v>
      </c>
      <c r="W120" s="1">
        <f>=HYPERLINK("10.175.1.14\MWEB.12\SEP\EntityDetails.10.175.1.14.MWEB.12.-management-.102.xlsx", "&lt;Detail&gt;")</f>
      </c>
      <c r="X120" s="1">
        <f>=HYPERLINK("10.175.1.14\MWEB.12\SEP\MetricGraphs.SEP.10.175.1.14.MWEB.12.xlsx", "&lt;Metrics&gt;")</f>
      </c>
      <c r="Y120" s="0" t="s">
        <v>107</v>
      </c>
      <c r="Z120" s="0" t="s">
        <v>108</v>
      </c>
      <c r="AA120" s="0" t="s">
        <v>128</v>
      </c>
      <c r="AB120" s="0" t="s">
        <v>735</v>
      </c>
      <c r="AC120" s="0" t="s">
        <v>109</v>
      </c>
    </row>
    <row r="121">
      <c r="A121" s="0" t="s">
        <v>28</v>
      </c>
      <c r="B121" s="0" t="s">
        <v>30</v>
      </c>
      <c r="C121" s="0" t="s">
        <v>129</v>
      </c>
      <c r="D121" s="0" t="s">
        <v>327</v>
      </c>
      <c r="E121" s="0" t="s">
        <v>229</v>
      </c>
      <c r="F121" s="0">
        <v>0</v>
      </c>
      <c r="G121" s="0" t="s">
        <v>106</v>
      </c>
      <c r="H121" s="0">
        <v>0</v>
      </c>
      <c r="I121" s="0">
        <v>0</v>
      </c>
      <c r="J121" s="0">
        <v>0</v>
      </c>
      <c r="K121" s="0">
        <v>0</v>
      </c>
      <c r="L121" s="0">
        <v>0</v>
      </c>
      <c r="M121" s="0">
        <v>0</v>
      </c>
      <c r="N121" s="0" t="b">
        <v>0</v>
      </c>
      <c r="O121" s="2">
        <v>44613.583333333336</v>
      </c>
      <c r="P121" s="2">
        <v>44613.625</v>
      </c>
      <c r="Q121" s="2">
        <v>44613.208333333336</v>
      </c>
      <c r="R121" s="2">
        <v>44613.25</v>
      </c>
      <c r="S121" s="0">
        <v>60</v>
      </c>
      <c r="T121" s="0">
        <v>12</v>
      </c>
      <c r="U121" s="0">
        <v>41</v>
      </c>
      <c r="V121" s="0">
        <v>351</v>
      </c>
      <c r="W121" s="1">
        <f>=HYPERLINK("10.175.1.14\MWEB.12\SEP\EntityDetails.10.175.1.14.MWEB.12.-management-.351.xlsx", "&lt;Detail&gt;")</f>
      </c>
      <c r="X121" s="1">
        <f>=HYPERLINK("10.175.1.14\MWEB.12\SEP\MetricGraphs.SEP.10.175.1.14.MWEB.12.xlsx", "&lt;Metrics&gt;")</f>
      </c>
      <c r="Y121" s="0" t="s">
        <v>107</v>
      </c>
      <c r="Z121" s="0" t="s">
        <v>108</v>
      </c>
      <c r="AA121" s="0" t="s">
        <v>130</v>
      </c>
      <c r="AB121" s="0" t="s">
        <v>736</v>
      </c>
      <c r="AC121" s="0" t="s">
        <v>109</v>
      </c>
    </row>
    <row r="122">
      <c r="A122" s="0" t="s">
        <v>28</v>
      </c>
      <c r="B122" s="0" t="s">
        <v>30</v>
      </c>
      <c r="C122" s="0" t="s">
        <v>131</v>
      </c>
      <c r="D122" s="0" t="s">
        <v>327</v>
      </c>
      <c r="E122" s="0" t="s">
        <v>229</v>
      </c>
      <c r="F122" s="0">
        <v>0</v>
      </c>
      <c r="G122" s="0" t="s">
        <v>106</v>
      </c>
      <c r="H122" s="0">
        <v>0</v>
      </c>
      <c r="I122" s="0">
        <v>0</v>
      </c>
      <c r="J122" s="0">
        <v>0</v>
      </c>
      <c r="K122" s="0">
        <v>0</v>
      </c>
      <c r="L122" s="0">
        <v>0</v>
      </c>
      <c r="M122" s="0">
        <v>0</v>
      </c>
      <c r="N122" s="0" t="b">
        <v>0</v>
      </c>
      <c r="O122" s="2">
        <v>44613.583333333336</v>
      </c>
      <c r="P122" s="2">
        <v>44613.625</v>
      </c>
      <c r="Q122" s="2">
        <v>44613.208333333336</v>
      </c>
      <c r="R122" s="2">
        <v>44613.25</v>
      </c>
      <c r="S122" s="0">
        <v>60</v>
      </c>
      <c r="T122" s="0">
        <v>12</v>
      </c>
      <c r="U122" s="0">
        <v>40</v>
      </c>
      <c r="V122" s="0">
        <v>356</v>
      </c>
      <c r="W122" s="1">
        <f>=HYPERLINK("10.175.1.14\MWEB.12\SEP\EntityDetails.10.175.1.14.MWEB.12.-management-.356.xlsx", "&lt;Detail&gt;")</f>
      </c>
      <c r="X122" s="1">
        <f>=HYPERLINK("10.175.1.14\MWEB.12\SEP\MetricGraphs.SEP.10.175.1.14.MWEB.12.xlsx", "&lt;Metrics&gt;")</f>
      </c>
      <c r="Y122" s="0" t="s">
        <v>107</v>
      </c>
      <c r="Z122" s="0" t="s">
        <v>108</v>
      </c>
      <c r="AA122" s="0" t="s">
        <v>132</v>
      </c>
      <c r="AB122" s="0" t="s">
        <v>737</v>
      </c>
      <c r="AC122" s="0" t="s">
        <v>109</v>
      </c>
    </row>
    <row r="123">
      <c r="A123" s="0" t="s">
        <v>28</v>
      </c>
      <c r="B123" s="0" t="s">
        <v>30</v>
      </c>
      <c r="C123" s="0" t="s">
        <v>133</v>
      </c>
      <c r="D123" s="0" t="s">
        <v>327</v>
      </c>
      <c r="E123" s="0" t="s">
        <v>229</v>
      </c>
      <c r="F123" s="0">
        <v>0</v>
      </c>
      <c r="G123" s="0" t="s">
        <v>106</v>
      </c>
      <c r="H123" s="0">
        <v>0</v>
      </c>
      <c r="I123" s="0">
        <v>0</v>
      </c>
      <c r="J123" s="0">
        <v>0</v>
      </c>
      <c r="K123" s="0">
        <v>0</v>
      </c>
      <c r="L123" s="0">
        <v>0</v>
      </c>
      <c r="M123" s="0">
        <v>0</v>
      </c>
      <c r="N123" s="0" t="b">
        <v>0</v>
      </c>
      <c r="O123" s="2">
        <v>44613.583333333336</v>
      </c>
      <c r="P123" s="2">
        <v>44613.625</v>
      </c>
      <c r="Q123" s="2">
        <v>44613.208333333336</v>
      </c>
      <c r="R123" s="2">
        <v>44613.25</v>
      </c>
      <c r="S123" s="0">
        <v>60</v>
      </c>
      <c r="T123" s="0">
        <v>12</v>
      </c>
      <c r="U123" s="0">
        <v>36</v>
      </c>
      <c r="V123" s="0">
        <v>153</v>
      </c>
      <c r="W123" s="1">
        <f>=HYPERLINK("10.175.1.14\MWEB.12\SEP\EntityDetails.10.175.1.14.MWEB.12.-management-.153.xlsx", "&lt;Detail&gt;")</f>
      </c>
      <c r="X123" s="1">
        <f>=HYPERLINK("10.175.1.14\MWEB.12\SEP\MetricGraphs.SEP.10.175.1.14.MWEB.12.xlsx", "&lt;Metrics&gt;")</f>
      </c>
      <c r="Y123" s="0" t="s">
        <v>107</v>
      </c>
      <c r="Z123" s="0" t="s">
        <v>108</v>
      </c>
      <c r="AA123" s="0" t="s">
        <v>134</v>
      </c>
      <c r="AB123" s="0" t="s">
        <v>738</v>
      </c>
      <c r="AC123" s="0" t="s">
        <v>109</v>
      </c>
    </row>
    <row r="124">
      <c r="A124" s="0" t="s">
        <v>28</v>
      </c>
      <c r="B124" s="0" t="s">
        <v>30</v>
      </c>
      <c r="C124" s="0" t="s">
        <v>135</v>
      </c>
      <c r="D124" s="0" t="s">
        <v>327</v>
      </c>
      <c r="E124" s="0" t="s">
        <v>229</v>
      </c>
      <c r="F124" s="0">
        <v>0</v>
      </c>
      <c r="G124" s="0" t="s">
        <v>106</v>
      </c>
      <c r="H124" s="0">
        <v>0</v>
      </c>
      <c r="I124" s="0">
        <v>0</v>
      </c>
      <c r="J124" s="0">
        <v>0</v>
      </c>
      <c r="K124" s="0">
        <v>0</v>
      </c>
      <c r="L124" s="0">
        <v>0</v>
      </c>
      <c r="M124" s="0">
        <v>0</v>
      </c>
      <c r="N124" s="0" t="b">
        <v>0</v>
      </c>
      <c r="O124" s="2">
        <v>44613.583333333336</v>
      </c>
      <c r="P124" s="2">
        <v>44613.625</v>
      </c>
      <c r="Q124" s="2">
        <v>44613.208333333336</v>
      </c>
      <c r="R124" s="2">
        <v>44613.25</v>
      </c>
      <c r="S124" s="0">
        <v>60</v>
      </c>
      <c r="T124" s="0">
        <v>12</v>
      </c>
      <c r="U124" s="0">
        <v>37</v>
      </c>
      <c r="V124" s="0">
        <v>275</v>
      </c>
      <c r="W124" s="1">
        <f>=HYPERLINK("10.175.1.14\MWEB.12\SEP\EntityDetails.10.175.1.14.MWEB.12.-management-.275.xlsx", "&lt;Detail&gt;")</f>
      </c>
      <c r="X124" s="1">
        <f>=HYPERLINK("10.175.1.14\MWEB.12\SEP\MetricGraphs.SEP.10.175.1.14.MWEB.12.xlsx", "&lt;Metrics&gt;")</f>
      </c>
      <c r="Y124" s="0" t="s">
        <v>107</v>
      </c>
      <c r="Z124" s="0" t="s">
        <v>108</v>
      </c>
      <c r="AA124" s="0" t="s">
        <v>136</v>
      </c>
      <c r="AB124" s="0" t="s">
        <v>739</v>
      </c>
      <c r="AC124" s="0" t="s">
        <v>109</v>
      </c>
    </row>
    <row r="125">
      <c r="A125" s="0" t="s">
        <v>28</v>
      </c>
      <c r="B125" s="0" t="s">
        <v>30</v>
      </c>
      <c r="C125" s="0" t="s">
        <v>137</v>
      </c>
      <c r="D125" s="0" t="s">
        <v>327</v>
      </c>
      <c r="E125" s="0" t="s">
        <v>229</v>
      </c>
      <c r="F125" s="0">
        <v>0</v>
      </c>
      <c r="G125" s="0" t="s">
        <v>106</v>
      </c>
      <c r="H125" s="0">
        <v>0</v>
      </c>
      <c r="I125" s="0">
        <v>0</v>
      </c>
      <c r="J125" s="0">
        <v>0</v>
      </c>
      <c r="K125" s="0">
        <v>0</v>
      </c>
      <c r="L125" s="0">
        <v>0</v>
      </c>
      <c r="M125" s="0">
        <v>0</v>
      </c>
      <c r="N125" s="0" t="b">
        <v>0</v>
      </c>
      <c r="O125" s="2">
        <v>44613.583333333336</v>
      </c>
      <c r="P125" s="2">
        <v>44613.625</v>
      </c>
      <c r="Q125" s="2">
        <v>44613.208333333336</v>
      </c>
      <c r="R125" s="2">
        <v>44613.25</v>
      </c>
      <c r="S125" s="0">
        <v>60</v>
      </c>
      <c r="T125" s="0">
        <v>12</v>
      </c>
      <c r="U125" s="0">
        <v>38</v>
      </c>
      <c r="V125" s="0">
        <v>277</v>
      </c>
      <c r="W125" s="1">
        <f>=HYPERLINK("10.175.1.14\MWEB.12\SEP\EntityDetails.10.175.1.14.MWEB.12.-management-.277.xlsx", "&lt;Detail&gt;")</f>
      </c>
      <c r="X125" s="1">
        <f>=HYPERLINK("10.175.1.14\MWEB.12\SEP\MetricGraphs.SEP.10.175.1.14.MWEB.12.xlsx", "&lt;Metrics&gt;")</f>
      </c>
      <c r="Y125" s="0" t="s">
        <v>107</v>
      </c>
      <c r="Z125" s="0" t="s">
        <v>108</v>
      </c>
      <c r="AA125" s="0" t="s">
        <v>138</v>
      </c>
      <c r="AB125" s="0" t="s">
        <v>740</v>
      </c>
      <c r="AC125" s="0" t="s">
        <v>109</v>
      </c>
    </row>
    <row r="126">
      <c r="A126" s="0" t="s">
        <v>28</v>
      </c>
      <c r="B126" s="0" t="s">
        <v>30</v>
      </c>
      <c r="C126" s="0" t="s">
        <v>143</v>
      </c>
      <c r="D126" s="0" t="s">
        <v>327</v>
      </c>
      <c r="E126" s="0" t="s">
        <v>229</v>
      </c>
      <c r="F126" s="0">
        <v>0</v>
      </c>
      <c r="G126" s="0" t="s">
        <v>106</v>
      </c>
      <c r="H126" s="0">
        <v>0</v>
      </c>
      <c r="I126" s="0">
        <v>0</v>
      </c>
      <c r="J126" s="0">
        <v>0</v>
      </c>
      <c r="K126" s="0">
        <v>0</v>
      </c>
      <c r="L126" s="0">
        <v>0</v>
      </c>
      <c r="M126" s="0">
        <v>0</v>
      </c>
      <c r="N126" s="0" t="b">
        <v>0</v>
      </c>
      <c r="O126" s="2">
        <v>44613.583333333336</v>
      </c>
      <c r="P126" s="2">
        <v>44613.625</v>
      </c>
      <c r="Q126" s="2">
        <v>44613.208333333336</v>
      </c>
      <c r="R126" s="2">
        <v>44613.25</v>
      </c>
      <c r="S126" s="0">
        <v>60</v>
      </c>
      <c r="T126" s="0">
        <v>12</v>
      </c>
      <c r="U126" s="0">
        <v>43</v>
      </c>
      <c r="V126" s="0">
        <v>1884</v>
      </c>
      <c r="W126" s="1">
        <f>=HYPERLINK("10.175.1.14\MWEB.12\SEP\EntityDetails.10.175.1.14.MWEB.12.-management-.1884.xlsx", "&lt;Detail&gt;")</f>
      </c>
      <c r="X126" s="1">
        <f>=HYPERLINK("10.175.1.14\MWEB.12\SEP\MetricGraphs.SEP.10.175.1.14.MWEB.12.xlsx", "&lt;Metrics&gt;")</f>
      </c>
      <c r="Y126" s="0" t="s">
        <v>107</v>
      </c>
      <c r="Z126" s="0" t="s">
        <v>108</v>
      </c>
      <c r="AA126" s="0" t="s">
        <v>144</v>
      </c>
      <c r="AB126" s="0" t="s">
        <v>741</v>
      </c>
      <c r="AC126" s="0" t="s">
        <v>109</v>
      </c>
    </row>
    <row r="127">
      <c r="A127" s="0" t="s">
        <v>28</v>
      </c>
      <c r="B127" s="0" t="s">
        <v>30</v>
      </c>
      <c r="C127" s="0" t="s">
        <v>147</v>
      </c>
      <c r="D127" s="0" t="s">
        <v>327</v>
      </c>
      <c r="E127" s="0" t="s">
        <v>229</v>
      </c>
      <c r="F127" s="0">
        <v>0</v>
      </c>
      <c r="G127" s="0" t="s">
        <v>106</v>
      </c>
      <c r="H127" s="0">
        <v>0</v>
      </c>
      <c r="I127" s="0">
        <v>0</v>
      </c>
      <c r="J127" s="0">
        <v>0</v>
      </c>
      <c r="K127" s="0">
        <v>0</v>
      </c>
      <c r="L127" s="0">
        <v>0</v>
      </c>
      <c r="M127" s="0">
        <v>0</v>
      </c>
      <c r="N127" s="0" t="b">
        <v>0</v>
      </c>
      <c r="O127" s="2">
        <v>44613.583333333336</v>
      </c>
      <c r="P127" s="2">
        <v>44613.625</v>
      </c>
      <c r="Q127" s="2">
        <v>44613.208333333336</v>
      </c>
      <c r="R127" s="2">
        <v>44613.25</v>
      </c>
      <c r="S127" s="0">
        <v>60</v>
      </c>
      <c r="T127" s="0">
        <v>12</v>
      </c>
      <c r="U127" s="0">
        <v>49</v>
      </c>
      <c r="V127" s="0">
        <v>2057</v>
      </c>
      <c r="W127" s="1">
        <f>=HYPERLINK("10.175.1.14\MWEB.12\SEP\EntityDetails.10.175.1.14.MWEB.12.-management-.2057.xlsx", "&lt;Detail&gt;")</f>
      </c>
      <c r="X127" s="1">
        <f>=HYPERLINK("10.175.1.14\MWEB.12\SEP\MetricGraphs.SEP.10.175.1.14.MWEB.12.xlsx", "&lt;Metrics&gt;")</f>
      </c>
      <c r="Y127" s="0" t="s">
        <v>107</v>
      </c>
      <c r="Z127" s="0" t="s">
        <v>108</v>
      </c>
      <c r="AA127" s="0" t="s">
        <v>148</v>
      </c>
      <c r="AB127" s="0" t="s">
        <v>742</v>
      </c>
      <c r="AC127" s="0" t="s">
        <v>109</v>
      </c>
    </row>
    <row r="128">
      <c r="A128" s="0" t="s">
        <v>28</v>
      </c>
      <c r="B128" s="0" t="s">
        <v>30</v>
      </c>
      <c r="C128" s="0" t="s">
        <v>157</v>
      </c>
      <c r="D128" s="0" t="s">
        <v>327</v>
      </c>
      <c r="E128" s="0" t="s">
        <v>229</v>
      </c>
      <c r="F128" s="0">
        <v>0</v>
      </c>
      <c r="G128" s="0" t="s">
        <v>106</v>
      </c>
      <c r="H128" s="0">
        <v>0</v>
      </c>
      <c r="I128" s="0">
        <v>0</v>
      </c>
      <c r="J128" s="0">
        <v>0</v>
      </c>
      <c r="K128" s="0">
        <v>0</v>
      </c>
      <c r="L128" s="0">
        <v>0</v>
      </c>
      <c r="M128" s="0">
        <v>0</v>
      </c>
      <c r="N128" s="0" t="b">
        <v>0</v>
      </c>
      <c r="O128" s="2">
        <v>44613.583333333336</v>
      </c>
      <c r="P128" s="2">
        <v>44613.625</v>
      </c>
      <c r="Q128" s="2">
        <v>44613.208333333336</v>
      </c>
      <c r="R128" s="2">
        <v>44613.25</v>
      </c>
      <c r="S128" s="0">
        <v>60</v>
      </c>
      <c r="T128" s="0">
        <v>12</v>
      </c>
      <c r="U128" s="0">
        <v>53</v>
      </c>
      <c r="V128" s="0">
        <v>2241</v>
      </c>
      <c r="W128" s="1">
        <f>=HYPERLINK("10.175.1.14\MWEB.12\SEP\EntityDetails.10.175.1.14.MWEB.12.-management-.2241.xlsx", "&lt;Detail&gt;")</f>
      </c>
      <c r="X128" s="1">
        <f>=HYPERLINK("10.175.1.14\MWEB.12\SEP\MetricGraphs.SEP.10.175.1.14.MWEB.12.xlsx", "&lt;Metrics&gt;")</f>
      </c>
      <c r="Y128" s="0" t="s">
        <v>107</v>
      </c>
      <c r="Z128" s="0" t="s">
        <v>108</v>
      </c>
      <c r="AA128" s="0" t="s">
        <v>158</v>
      </c>
      <c r="AB128" s="0" t="s">
        <v>743</v>
      </c>
      <c r="AC128" s="0" t="s">
        <v>109</v>
      </c>
    </row>
    <row r="129">
      <c r="A129" s="0" t="s">
        <v>28</v>
      </c>
      <c r="B129" s="0" t="s">
        <v>30</v>
      </c>
      <c r="C129" s="0" t="s">
        <v>163</v>
      </c>
      <c r="D129" s="0" t="s">
        <v>327</v>
      </c>
      <c r="E129" s="0" t="s">
        <v>229</v>
      </c>
      <c r="F129" s="0">
        <v>0</v>
      </c>
      <c r="G129" s="0" t="s">
        <v>106</v>
      </c>
      <c r="H129" s="0">
        <v>0</v>
      </c>
      <c r="I129" s="0">
        <v>0</v>
      </c>
      <c r="J129" s="0">
        <v>0</v>
      </c>
      <c r="K129" s="0">
        <v>0</v>
      </c>
      <c r="L129" s="0">
        <v>0</v>
      </c>
      <c r="M129" s="0">
        <v>0</v>
      </c>
      <c r="N129" s="0" t="b">
        <v>0</v>
      </c>
      <c r="O129" s="2">
        <v>44613.583333333336</v>
      </c>
      <c r="P129" s="2">
        <v>44613.625</v>
      </c>
      <c r="Q129" s="2">
        <v>44613.208333333336</v>
      </c>
      <c r="R129" s="2">
        <v>44613.25</v>
      </c>
      <c r="S129" s="0">
        <v>60</v>
      </c>
      <c r="T129" s="0">
        <v>12</v>
      </c>
      <c r="U129" s="0">
        <v>55</v>
      </c>
      <c r="V129" s="0">
        <v>3176</v>
      </c>
      <c r="W129" s="1">
        <f>=HYPERLINK("10.175.1.14\MWEB.12\SEP\EntityDetails.10.175.1.14.MWEB.12.-management-.3176.xlsx", "&lt;Detail&gt;")</f>
      </c>
      <c r="X129" s="1">
        <f>=HYPERLINK("10.175.1.14\MWEB.12\SEP\MetricGraphs.SEP.10.175.1.14.MWEB.12.xlsx", "&lt;Metrics&gt;")</f>
      </c>
      <c r="Y129" s="0" t="s">
        <v>107</v>
      </c>
      <c r="Z129" s="0" t="s">
        <v>108</v>
      </c>
      <c r="AA129" s="0" t="s">
        <v>164</v>
      </c>
      <c r="AB129" s="0" t="s">
        <v>744</v>
      </c>
      <c r="AC129" s="0" t="s">
        <v>109</v>
      </c>
    </row>
    <row r="130">
      <c r="A130" s="0" t="s">
        <v>28</v>
      </c>
      <c r="B130" s="0" t="s">
        <v>30</v>
      </c>
      <c r="C130" s="0" t="s">
        <v>133</v>
      </c>
      <c r="D130" s="0" t="s">
        <v>335</v>
      </c>
      <c r="E130" s="0" t="s">
        <v>229</v>
      </c>
      <c r="F130" s="0">
        <v>0</v>
      </c>
      <c r="G130" s="0" t="s">
        <v>106</v>
      </c>
      <c r="H130" s="0">
        <v>0</v>
      </c>
      <c r="I130" s="0">
        <v>0</v>
      </c>
      <c r="J130" s="0">
        <v>0</v>
      </c>
      <c r="K130" s="0">
        <v>0</v>
      </c>
      <c r="L130" s="0">
        <v>0</v>
      </c>
      <c r="M130" s="0">
        <v>0</v>
      </c>
      <c r="N130" s="0" t="b">
        <v>0</v>
      </c>
      <c r="O130" s="2">
        <v>44613.583333333336</v>
      </c>
      <c r="P130" s="2">
        <v>44613.625</v>
      </c>
      <c r="Q130" s="2">
        <v>44613.208333333336</v>
      </c>
      <c r="R130" s="2">
        <v>44613.25</v>
      </c>
      <c r="S130" s="0">
        <v>60</v>
      </c>
      <c r="T130" s="0">
        <v>12</v>
      </c>
      <c r="U130" s="0">
        <v>36</v>
      </c>
      <c r="V130" s="0">
        <v>206</v>
      </c>
      <c r="W130" s="1">
        <f>=HYPERLINK("10.175.1.14\MWEB.12\SEP\EntityDetails.10.175.1.14.MWEB.12.-master-mana.206.xlsx", "&lt;Detail&gt;")</f>
      </c>
      <c r="X130" s="1">
        <f>=HYPERLINK("10.175.1.14\MWEB.12\SEP\MetricGraphs.SEP.10.175.1.14.MWEB.12.xlsx", "&lt;Metrics&gt;")</f>
      </c>
      <c r="Y130" s="0" t="s">
        <v>107</v>
      </c>
      <c r="Z130" s="0" t="s">
        <v>108</v>
      </c>
      <c r="AA130" s="0" t="s">
        <v>134</v>
      </c>
      <c r="AB130" s="0" t="s">
        <v>745</v>
      </c>
      <c r="AC130" s="0" t="s">
        <v>109</v>
      </c>
    </row>
    <row r="131">
      <c r="A131" s="0" t="s">
        <v>28</v>
      </c>
      <c r="B131" s="0" t="s">
        <v>30</v>
      </c>
      <c r="C131" s="0" t="s">
        <v>157</v>
      </c>
      <c r="D131" s="0" t="s">
        <v>335</v>
      </c>
      <c r="E131" s="0" t="s">
        <v>229</v>
      </c>
      <c r="F131" s="0">
        <v>0</v>
      </c>
      <c r="G131" s="0" t="s">
        <v>106</v>
      </c>
      <c r="H131" s="0">
        <v>0</v>
      </c>
      <c r="I131" s="0">
        <v>0</v>
      </c>
      <c r="J131" s="0">
        <v>0</v>
      </c>
      <c r="K131" s="0">
        <v>0</v>
      </c>
      <c r="L131" s="0">
        <v>0</v>
      </c>
      <c r="M131" s="0">
        <v>0</v>
      </c>
      <c r="N131" s="0" t="b">
        <v>0</v>
      </c>
      <c r="O131" s="2">
        <v>44613.583333333336</v>
      </c>
      <c r="P131" s="2">
        <v>44613.625</v>
      </c>
      <c r="Q131" s="2">
        <v>44613.208333333336</v>
      </c>
      <c r="R131" s="2">
        <v>44613.25</v>
      </c>
      <c r="S131" s="0">
        <v>60</v>
      </c>
      <c r="T131" s="0">
        <v>12</v>
      </c>
      <c r="U131" s="0">
        <v>53</v>
      </c>
      <c r="V131" s="0">
        <v>2250</v>
      </c>
      <c r="W131" s="1">
        <f>=HYPERLINK("10.175.1.14\MWEB.12\SEP\EntityDetails.10.175.1.14.MWEB.12.-master-mana.2250.xlsx", "&lt;Detail&gt;")</f>
      </c>
      <c r="X131" s="1">
        <f>=HYPERLINK("10.175.1.14\MWEB.12\SEP\MetricGraphs.SEP.10.175.1.14.MWEB.12.xlsx", "&lt;Metrics&gt;")</f>
      </c>
      <c r="Y131" s="0" t="s">
        <v>107</v>
      </c>
      <c r="Z131" s="0" t="s">
        <v>108</v>
      </c>
      <c r="AA131" s="0" t="s">
        <v>158</v>
      </c>
      <c r="AB131" s="0" t="s">
        <v>746</v>
      </c>
      <c r="AC131" s="0" t="s">
        <v>109</v>
      </c>
    </row>
    <row r="132">
      <c r="A132" s="0" t="s">
        <v>28</v>
      </c>
      <c r="B132" s="0" t="s">
        <v>30</v>
      </c>
      <c r="C132" s="0" t="s">
        <v>133</v>
      </c>
      <c r="D132" s="0" t="s">
        <v>747</v>
      </c>
      <c r="E132" s="0" t="s">
        <v>229</v>
      </c>
      <c r="F132" s="0">
        <v>0</v>
      </c>
      <c r="G132" s="0" t="s">
        <v>106</v>
      </c>
      <c r="H132" s="0">
        <v>0</v>
      </c>
      <c r="I132" s="0">
        <v>0</v>
      </c>
      <c r="J132" s="0">
        <v>0</v>
      </c>
      <c r="K132" s="0">
        <v>0</v>
      </c>
      <c r="L132" s="0">
        <v>0</v>
      </c>
      <c r="M132" s="0">
        <v>0</v>
      </c>
      <c r="N132" s="0" t="b">
        <v>0</v>
      </c>
      <c r="O132" s="2">
        <v>44613.583333333336</v>
      </c>
      <c r="P132" s="2">
        <v>44613.625</v>
      </c>
      <c r="Q132" s="2">
        <v>44613.208333333336</v>
      </c>
      <c r="R132" s="2">
        <v>44613.25</v>
      </c>
      <c r="S132" s="0">
        <v>60</v>
      </c>
      <c r="T132" s="0">
        <v>12</v>
      </c>
      <c r="U132" s="0">
        <v>36</v>
      </c>
      <c r="V132" s="0">
        <v>205</v>
      </c>
      <c r="W132" s="1">
        <f>=HYPERLINK("10.175.1.14\MWEB.12\SEP\EntityDetails.10.175.1.14.MWEB.12.-master-WEB-.205.xlsx", "&lt;Detail&gt;")</f>
      </c>
      <c r="X132" s="1">
        <f>=HYPERLINK("10.175.1.14\MWEB.12\SEP\MetricGraphs.SEP.10.175.1.14.MWEB.12.xlsx", "&lt;Metrics&gt;")</f>
      </c>
      <c r="Y132" s="0" t="s">
        <v>107</v>
      </c>
      <c r="Z132" s="0" t="s">
        <v>108</v>
      </c>
      <c r="AA132" s="0" t="s">
        <v>134</v>
      </c>
      <c r="AB132" s="0" t="s">
        <v>748</v>
      </c>
      <c r="AC132" s="0" t="s">
        <v>109</v>
      </c>
    </row>
    <row r="133">
      <c r="A133" s="0" t="s">
        <v>28</v>
      </c>
      <c r="B133" s="0" t="s">
        <v>30</v>
      </c>
      <c r="C133" s="0" t="s">
        <v>157</v>
      </c>
      <c r="D133" s="0" t="s">
        <v>747</v>
      </c>
      <c r="E133" s="0" t="s">
        <v>229</v>
      </c>
      <c r="F133" s="0">
        <v>0</v>
      </c>
      <c r="G133" s="0" t="s">
        <v>106</v>
      </c>
      <c r="H133" s="0">
        <v>0</v>
      </c>
      <c r="I133" s="0">
        <v>0</v>
      </c>
      <c r="J133" s="0">
        <v>0</v>
      </c>
      <c r="K133" s="0">
        <v>0</v>
      </c>
      <c r="L133" s="0">
        <v>0</v>
      </c>
      <c r="M133" s="0">
        <v>0</v>
      </c>
      <c r="N133" s="0" t="b">
        <v>0</v>
      </c>
      <c r="O133" s="2">
        <v>44613.583333333336</v>
      </c>
      <c r="P133" s="2">
        <v>44613.625</v>
      </c>
      <c r="Q133" s="2">
        <v>44613.208333333336</v>
      </c>
      <c r="R133" s="2">
        <v>44613.25</v>
      </c>
      <c r="S133" s="0">
        <v>60</v>
      </c>
      <c r="T133" s="0">
        <v>12</v>
      </c>
      <c r="U133" s="0">
        <v>53</v>
      </c>
      <c r="V133" s="0">
        <v>2249</v>
      </c>
      <c r="W133" s="1">
        <f>=HYPERLINK("10.175.1.14\MWEB.12\SEP\EntityDetails.10.175.1.14.MWEB.12.-master-WEB-.2249.xlsx", "&lt;Detail&gt;")</f>
      </c>
      <c r="X133" s="1">
        <f>=HYPERLINK("10.175.1.14\MWEB.12\SEP\MetricGraphs.SEP.10.175.1.14.MWEB.12.xlsx", "&lt;Metrics&gt;")</f>
      </c>
      <c r="Y133" s="0" t="s">
        <v>107</v>
      </c>
      <c r="Z133" s="0" t="s">
        <v>108</v>
      </c>
      <c r="AA133" s="0" t="s">
        <v>158</v>
      </c>
      <c r="AB133" s="0" t="s">
        <v>749</v>
      </c>
      <c r="AC133" s="0" t="s">
        <v>109</v>
      </c>
    </row>
    <row r="134">
      <c r="A134" s="0" t="s">
        <v>28</v>
      </c>
      <c r="B134" s="0" t="s">
        <v>30</v>
      </c>
      <c r="C134" s="0" t="s">
        <v>149</v>
      </c>
      <c r="D134" s="0" t="s">
        <v>337</v>
      </c>
      <c r="E134" s="0" t="s">
        <v>229</v>
      </c>
      <c r="F134" s="0">
        <v>0</v>
      </c>
      <c r="G134" s="0" t="s">
        <v>106</v>
      </c>
      <c r="H134" s="0">
        <v>0</v>
      </c>
      <c r="I134" s="0">
        <v>0</v>
      </c>
      <c r="J134" s="0">
        <v>0</v>
      </c>
      <c r="K134" s="0">
        <v>0</v>
      </c>
      <c r="L134" s="0">
        <v>0</v>
      </c>
      <c r="M134" s="0">
        <v>0</v>
      </c>
      <c r="N134" s="0" t="b">
        <v>0</v>
      </c>
      <c r="O134" s="2">
        <v>44613.583333333336</v>
      </c>
      <c r="P134" s="2">
        <v>44613.625</v>
      </c>
      <c r="Q134" s="2">
        <v>44613.208333333336</v>
      </c>
      <c r="R134" s="2">
        <v>44613.25</v>
      </c>
      <c r="S134" s="0">
        <v>60</v>
      </c>
      <c r="T134" s="0">
        <v>12</v>
      </c>
      <c r="U134" s="0">
        <v>50</v>
      </c>
      <c r="V134" s="0">
        <v>2522</v>
      </c>
      <c r="W134" s="1">
        <f>=HYPERLINK("10.175.1.14\MWEB.12\SEP\EntityDetails.10.175.1.14.MWEB.12.-modules-.2522.xlsx", "&lt;Detail&gt;")</f>
      </c>
      <c r="X134" s="1">
        <f>=HYPERLINK("10.175.1.14\MWEB.12\SEP\MetricGraphs.SEP.10.175.1.14.MWEB.12.xlsx", "&lt;Metrics&gt;")</f>
      </c>
      <c r="Y134" s="0" t="s">
        <v>107</v>
      </c>
      <c r="Z134" s="0" t="s">
        <v>108</v>
      </c>
      <c r="AA134" s="0" t="s">
        <v>150</v>
      </c>
      <c r="AB134" s="0" t="s">
        <v>750</v>
      </c>
      <c r="AC134" s="0" t="s">
        <v>109</v>
      </c>
    </row>
    <row r="135">
      <c r="A135" s="0" t="s">
        <v>28</v>
      </c>
      <c r="B135" s="0" t="s">
        <v>30</v>
      </c>
      <c r="C135" s="0" t="s">
        <v>127</v>
      </c>
      <c r="D135" s="0" t="s">
        <v>751</v>
      </c>
      <c r="E135" s="0" t="s">
        <v>229</v>
      </c>
      <c r="F135" s="0">
        <v>0</v>
      </c>
      <c r="G135" s="0" t="s">
        <v>106</v>
      </c>
      <c r="H135" s="0">
        <v>0</v>
      </c>
      <c r="I135" s="0">
        <v>0</v>
      </c>
      <c r="J135" s="0">
        <v>0</v>
      </c>
      <c r="K135" s="0">
        <v>0</v>
      </c>
      <c r="L135" s="0">
        <v>0</v>
      </c>
      <c r="M135" s="0">
        <v>0</v>
      </c>
      <c r="N135" s="0" t="b">
        <v>0</v>
      </c>
      <c r="O135" s="2">
        <v>44613.583333333336</v>
      </c>
      <c r="P135" s="2">
        <v>44613.625</v>
      </c>
      <c r="Q135" s="2">
        <v>44613.208333333336</v>
      </c>
      <c r="R135" s="2">
        <v>44613.25</v>
      </c>
      <c r="S135" s="0">
        <v>60</v>
      </c>
      <c r="T135" s="0">
        <v>12</v>
      </c>
      <c r="U135" s="0">
        <v>39</v>
      </c>
      <c r="V135" s="0">
        <v>477</v>
      </c>
      <c r="W135" s="1">
        <f>=HYPERLINK("10.175.1.14\MWEB.12\SEP\EntityDetails.10.175.1.14.MWEB.12.-modules-inq.477.xlsx", "&lt;Detail&gt;")</f>
      </c>
      <c r="X135" s="1">
        <f>=HYPERLINK("10.175.1.14\MWEB.12\SEP\MetricGraphs.SEP.10.175.1.14.MWEB.12.xlsx", "&lt;Metrics&gt;")</f>
      </c>
      <c r="Y135" s="0" t="s">
        <v>107</v>
      </c>
      <c r="Z135" s="0" t="s">
        <v>108</v>
      </c>
      <c r="AA135" s="0" t="s">
        <v>128</v>
      </c>
      <c r="AB135" s="0" t="s">
        <v>752</v>
      </c>
      <c r="AC135" s="0" t="s">
        <v>109</v>
      </c>
    </row>
    <row r="136">
      <c r="A136" s="0" t="s">
        <v>28</v>
      </c>
      <c r="B136" s="0" t="s">
        <v>30</v>
      </c>
      <c r="C136" s="0" t="s">
        <v>147</v>
      </c>
      <c r="D136" s="0" t="s">
        <v>339</v>
      </c>
      <c r="E136" s="0" t="s">
        <v>229</v>
      </c>
      <c r="F136" s="0">
        <v>0</v>
      </c>
      <c r="G136" s="0" t="s">
        <v>106</v>
      </c>
      <c r="H136" s="0">
        <v>0</v>
      </c>
      <c r="I136" s="0">
        <v>0</v>
      </c>
      <c r="J136" s="0">
        <v>0</v>
      </c>
      <c r="K136" s="0">
        <v>0</v>
      </c>
      <c r="L136" s="0">
        <v>0</v>
      </c>
      <c r="M136" s="0">
        <v>0</v>
      </c>
      <c r="N136" s="0" t="b">
        <v>0</v>
      </c>
      <c r="O136" s="2">
        <v>44613.583333333336</v>
      </c>
      <c r="P136" s="2">
        <v>44613.625</v>
      </c>
      <c r="Q136" s="2">
        <v>44613.208333333336</v>
      </c>
      <c r="R136" s="2">
        <v>44613.25</v>
      </c>
      <c r="S136" s="0">
        <v>60</v>
      </c>
      <c r="T136" s="0">
        <v>12</v>
      </c>
      <c r="U136" s="0">
        <v>49</v>
      </c>
      <c r="V136" s="0">
        <v>2409</v>
      </c>
      <c r="W136" s="1">
        <f>=HYPERLINK("10.175.1.14\MWEB.12\SEP\EntityDetails.10.175.1.14.MWEB.12.-net-.2409.xlsx", "&lt;Detail&gt;")</f>
      </c>
      <c r="X136" s="1">
        <f>=HYPERLINK("10.175.1.14\MWEB.12\SEP\MetricGraphs.SEP.10.175.1.14.MWEB.12.xlsx", "&lt;Metrics&gt;")</f>
      </c>
      <c r="Y136" s="0" t="s">
        <v>107</v>
      </c>
      <c r="Z136" s="0" t="s">
        <v>108</v>
      </c>
      <c r="AA136" s="0" t="s">
        <v>148</v>
      </c>
      <c r="AB136" s="0" t="s">
        <v>753</v>
      </c>
      <c r="AC136" s="0" t="s">
        <v>109</v>
      </c>
    </row>
    <row r="137">
      <c r="A137" s="0" t="s">
        <v>28</v>
      </c>
      <c r="B137" s="0" t="s">
        <v>30</v>
      </c>
      <c r="C137" s="0" t="s">
        <v>149</v>
      </c>
      <c r="D137" s="0" t="s">
        <v>339</v>
      </c>
      <c r="E137" s="0" t="s">
        <v>229</v>
      </c>
      <c r="F137" s="0">
        <v>0</v>
      </c>
      <c r="G137" s="0" t="s">
        <v>106</v>
      </c>
      <c r="H137" s="0">
        <v>0</v>
      </c>
      <c r="I137" s="0">
        <v>0</v>
      </c>
      <c r="J137" s="0">
        <v>0</v>
      </c>
      <c r="K137" s="0">
        <v>0</v>
      </c>
      <c r="L137" s="0">
        <v>0</v>
      </c>
      <c r="M137" s="0">
        <v>0</v>
      </c>
      <c r="N137" s="0" t="b">
        <v>0</v>
      </c>
      <c r="O137" s="2">
        <v>44613.583333333336</v>
      </c>
      <c r="P137" s="2">
        <v>44613.625</v>
      </c>
      <c r="Q137" s="2">
        <v>44613.208333333336</v>
      </c>
      <c r="R137" s="2">
        <v>44613.25</v>
      </c>
      <c r="S137" s="0">
        <v>60</v>
      </c>
      <c r="T137" s="0">
        <v>12</v>
      </c>
      <c r="U137" s="0">
        <v>50</v>
      </c>
      <c r="V137" s="0">
        <v>2530</v>
      </c>
      <c r="W137" s="1">
        <f>=HYPERLINK("10.175.1.14\MWEB.12\SEP\EntityDetails.10.175.1.14.MWEB.12.-net-.2530.xlsx", "&lt;Detail&gt;")</f>
      </c>
      <c r="X137" s="1">
        <f>=HYPERLINK("10.175.1.14\MWEB.12\SEP\MetricGraphs.SEP.10.175.1.14.MWEB.12.xlsx", "&lt;Metrics&gt;")</f>
      </c>
      <c r="Y137" s="0" t="s">
        <v>107</v>
      </c>
      <c r="Z137" s="0" t="s">
        <v>108</v>
      </c>
      <c r="AA137" s="0" t="s">
        <v>150</v>
      </c>
      <c r="AB137" s="0" t="s">
        <v>754</v>
      </c>
      <c r="AC137" s="0" t="s">
        <v>109</v>
      </c>
    </row>
    <row r="138">
      <c r="A138" s="0" t="s">
        <v>28</v>
      </c>
      <c r="B138" s="0" t="s">
        <v>30</v>
      </c>
      <c r="C138" s="0" t="s">
        <v>153</v>
      </c>
      <c r="D138" s="0" t="s">
        <v>339</v>
      </c>
      <c r="E138" s="0" t="s">
        <v>229</v>
      </c>
      <c r="F138" s="0">
        <v>0</v>
      </c>
      <c r="G138" s="0" t="s">
        <v>106</v>
      </c>
      <c r="H138" s="0">
        <v>0</v>
      </c>
      <c r="I138" s="0">
        <v>0</v>
      </c>
      <c r="J138" s="0">
        <v>0</v>
      </c>
      <c r="K138" s="0">
        <v>0</v>
      </c>
      <c r="L138" s="0">
        <v>0</v>
      </c>
      <c r="M138" s="0">
        <v>0</v>
      </c>
      <c r="N138" s="0" t="b">
        <v>0</v>
      </c>
      <c r="O138" s="2">
        <v>44613.583333333336</v>
      </c>
      <c r="P138" s="2">
        <v>44613.625</v>
      </c>
      <c r="Q138" s="2">
        <v>44613.208333333336</v>
      </c>
      <c r="R138" s="2">
        <v>44613.25</v>
      </c>
      <c r="S138" s="0">
        <v>60</v>
      </c>
      <c r="T138" s="0">
        <v>12</v>
      </c>
      <c r="U138" s="0">
        <v>51</v>
      </c>
      <c r="V138" s="0">
        <v>2532</v>
      </c>
      <c r="W138" s="1">
        <f>=HYPERLINK("10.175.1.14\MWEB.12\SEP\EntityDetails.10.175.1.14.MWEB.12.-net-.2532.xlsx", "&lt;Detail&gt;")</f>
      </c>
      <c r="X138" s="1">
        <f>=HYPERLINK("10.175.1.14\MWEB.12\SEP\MetricGraphs.SEP.10.175.1.14.MWEB.12.xlsx", "&lt;Metrics&gt;")</f>
      </c>
      <c r="Y138" s="0" t="s">
        <v>107</v>
      </c>
      <c r="Z138" s="0" t="s">
        <v>108</v>
      </c>
      <c r="AA138" s="0" t="s">
        <v>154</v>
      </c>
      <c r="AB138" s="0" t="s">
        <v>755</v>
      </c>
      <c r="AC138" s="0" t="s">
        <v>109</v>
      </c>
    </row>
    <row r="139">
      <c r="A139" s="0" t="s">
        <v>28</v>
      </c>
      <c r="B139" s="0" t="s">
        <v>30</v>
      </c>
      <c r="C139" s="0" t="s">
        <v>127</v>
      </c>
      <c r="D139" s="0" t="s">
        <v>343</v>
      </c>
      <c r="E139" s="0" t="s">
        <v>229</v>
      </c>
      <c r="F139" s="0">
        <v>0</v>
      </c>
      <c r="G139" s="0" t="s">
        <v>106</v>
      </c>
      <c r="H139" s="0">
        <v>0</v>
      </c>
      <c r="I139" s="0">
        <v>0</v>
      </c>
      <c r="J139" s="0">
        <v>0</v>
      </c>
      <c r="K139" s="0">
        <v>0</v>
      </c>
      <c r="L139" s="0">
        <v>0</v>
      </c>
      <c r="M139" s="0">
        <v>0</v>
      </c>
      <c r="N139" s="0" t="b">
        <v>0</v>
      </c>
      <c r="O139" s="2">
        <v>44613.583333333336</v>
      </c>
      <c r="P139" s="2">
        <v>44613.625</v>
      </c>
      <c r="Q139" s="2">
        <v>44613.208333333336</v>
      </c>
      <c r="R139" s="2">
        <v>44613.25</v>
      </c>
      <c r="S139" s="0">
        <v>60</v>
      </c>
      <c r="T139" s="0">
        <v>12</v>
      </c>
      <c r="U139" s="0">
        <v>39</v>
      </c>
      <c r="V139" s="0">
        <v>298</v>
      </c>
      <c r="W139" s="1">
        <f>=HYPERLINK("10.175.1.14\MWEB.12\SEP\EntityDetails.10.175.1.14.MWEB.12.-net-nyukai.298.xlsx", "&lt;Detail&gt;")</f>
      </c>
      <c r="X139" s="1">
        <f>=HYPERLINK("10.175.1.14\MWEB.12\SEP\MetricGraphs.SEP.10.175.1.14.MWEB.12.xlsx", "&lt;Metrics&gt;")</f>
      </c>
      <c r="Y139" s="0" t="s">
        <v>107</v>
      </c>
      <c r="Z139" s="0" t="s">
        <v>108</v>
      </c>
      <c r="AA139" s="0" t="s">
        <v>128</v>
      </c>
      <c r="AB139" s="0" t="s">
        <v>756</v>
      </c>
      <c r="AC139" s="0" t="s">
        <v>109</v>
      </c>
    </row>
    <row r="140">
      <c r="A140" s="0" t="s">
        <v>28</v>
      </c>
      <c r="B140" s="0" t="s">
        <v>30</v>
      </c>
      <c r="C140" s="0" t="s">
        <v>131</v>
      </c>
      <c r="D140" s="0" t="s">
        <v>345</v>
      </c>
      <c r="E140" s="0" t="s">
        <v>229</v>
      </c>
      <c r="F140" s="0">
        <v>0</v>
      </c>
      <c r="G140" s="0" t="s">
        <v>106</v>
      </c>
      <c r="H140" s="0">
        <v>0</v>
      </c>
      <c r="I140" s="0">
        <v>0</v>
      </c>
      <c r="J140" s="0">
        <v>0</v>
      </c>
      <c r="K140" s="0">
        <v>0</v>
      </c>
      <c r="L140" s="0">
        <v>0</v>
      </c>
      <c r="M140" s="0">
        <v>0</v>
      </c>
      <c r="N140" s="0" t="b">
        <v>0</v>
      </c>
      <c r="O140" s="2">
        <v>44613.583333333336</v>
      </c>
      <c r="P140" s="2">
        <v>44613.625</v>
      </c>
      <c r="Q140" s="2">
        <v>44613.208333333336</v>
      </c>
      <c r="R140" s="2">
        <v>44613.25</v>
      </c>
      <c r="S140" s="0">
        <v>60</v>
      </c>
      <c r="T140" s="0">
        <v>12</v>
      </c>
      <c r="U140" s="0">
        <v>40</v>
      </c>
      <c r="V140" s="0">
        <v>849</v>
      </c>
      <c r="W140" s="1">
        <f>=HYPERLINK("10.175.1.14\MWEB.12\SEP\EntityDetails.10.175.1.14.MWEB.12.-net-online.849.xlsx", "&lt;Detail&gt;")</f>
      </c>
      <c r="X140" s="1">
        <f>=HYPERLINK("10.175.1.14\MWEB.12\SEP\MetricGraphs.SEP.10.175.1.14.MWEB.12.xlsx", "&lt;Metrics&gt;")</f>
      </c>
      <c r="Y140" s="0" t="s">
        <v>107</v>
      </c>
      <c r="Z140" s="0" t="s">
        <v>108</v>
      </c>
      <c r="AA140" s="0" t="s">
        <v>132</v>
      </c>
      <c r="AB140" s="0" t="s">
        <v>757</v>
      </c>
      <c r="AC140" s="0" t="s">
        <v>109</v>
      </c>
    </row>
    <row r="141">
      <c r="A141" s="0" t="s">
        <v>28</v>
      </c>
      <c r="B141" s="0" t="s">
        <v>30</v>
      </c>
      <c r="C141" s="0" t="s">
        <v>147</v>
      </c>
      <c r="D141" s="0" t="s">
        <v>758</v>
      </c>
      <c r="E141" s="0" t="s">
        <v>229</v>
      </c>
      <c r="F141" s="0">
        <v>0</v>
      </c>
      <c r="G141" s="0" t="s">
        <v>106</v>
      </c>
      <c r="H141" s="0">
        <v>0</v>
      </c>
      <c r="I141" s="0">
        <v>0</v>
      </c>
      <c r="J141" s="0">
        <v>0</v>
      </c>
      <c r="K141" s="0">
        <v>0</v>
      </c>
      <c r="L141" s="0">
        <v>0</v>
      </c>
      <c r="M141" s="0">
        <v>0</v>
      </c>
      <c r="N141" s="0" t="b">
        <v>0</v>
      </c>
      <c r="O141" s="2">
        <v>44613.583333333336</v>
      </c>
      <c r="P141" s="2">
        <v>44613.625</v>
      </c>
      <c r="Q141" s="2">
        <v>44613.208333333336</v>
      </c>
      <c r="R141" s="2">
        <v>44613.25</v>
      </c>
      <c r="S141" s="0">
        <v>60</v>
      </c>
      <c r="T141" s="0">
        <v>12</v>
      </c>
      <c r="U141" s="0">
        <v>49</v>
      </c>
      <c r="V141" s="0">
        <v>2410</v>
      </c>
      <c r="W141" s="1">
        <f>=HYPERLINK("10.175.1.14\MWEB.12\SEP\EntityDetails.10.175.1.14.MWEB.12.-net-s_entry.2410.xlsx", "&lt;Detail&gt;")</f>
      </c>
      <c r="X141" s="1">
        <f>=HYPERLINK("10.175.1.14\MWEB.12\SEP\MetricGraphs.SEP.10.175.1.14.MWEB.12.xlsx", "&lt;Metrics&gt;")</f>
      </c>
      <c r="Y141" s="0" t="s">
        <v>107</v>
      </c>
      <c r="Z141" s="0" t="s">
        <v>108</v>
      </c>
      <c r="AA141" s="0" t="s">
        <v>148</v>
      </c>
      <c r="AB141" s="0" t="s">
        <v>759</v>
      </c>
      <c r="AC141" s="0" t="s">
        <v>109</v>
      </c>
    </row>
    <row r="142">
      <c r="A142" s="0" t="s">
        <v>28</v>
      </c>
      <c r="B142" s="0" t="s">
        <v>30</v>
      </c>
      <c r="C142" s="0" t="s">
        <v>125</v>
      </c>
      <c r="D142" s="0" t="s">
        <v>760</v>
      </c>
      <c r="E142" s="0" t="s">
        <v>229</v>
      </c>
      <c r="F142" s="0">
        <v>0</v>
      </c>
      <c r="G142" s="0" t="s">
        <v>106</v>
      </c>
      <c r="H142" s="0">
        <v>0</v>
      </c>
      <c r="I142" s="0">
        <v>0</v>
      </c>
      <c r="J142" s="0">
        <v>0</v>
      </c>
      <c r="K142" s="0">
        <v>0</v>
      </c>
      <c r="L142" s="0">
        <v>0</v>
      </c>
      <c r="M142" s="0">
        <v>0</v>
      </c>
      <c r="N142" s="0" t="b">
        <v>0</v>
      </c>
      <c r="O142" s="2">
        <v>44613.583333333336</v>
      </c>
      <c r="P142" s="2">
        <v>44613.625</v>
      </c>
      <c r="Q142" s="2">
        <v>44613.208333333336</v>
      </c>
      <c r="R142" s="2">
        <v>44613.25</v>
      </c>
      <c r="S142" s="0">
        <v>60</v>
      </c>
      <c r="T142" s="0">
        <v>12</v>
      </c>
      <c r="U142" s="0">
        <v>42</v>
      </c>
      <c r="V142" s="0">
        <v>1198</v>
      </c>
      <c r="W142" s="1">
        <f>=HYPERLINK("10.175.1.14\MWEB.12\SEP\EntityDetails.10.175.1.14.MWEB.12.-niet1707462.1198.xlsx", "&lt;Detail&gt;")</f>
      </c>
      <c r="X142" s="1">
        <f>=HYPERLINK("10.175.1.14\MWEB.12\SEP\MetricGraphs.SEP.10.175.1.14.MWEB.12.xlsx", "&lt;Metrics&gt;")</f>
      </c>
      <c r="Y142" s="0" t="s">
        <v>107</v>
      </c>
      <c r="Z142" s="0" t="s">
        <v>108</v>
      </c>
      <c r="AA142" s="0" t="s">
        <v>126</v>
      </c>
      <c r="AB142" s="0" t="s">
        <v>761</v>
      </c>
      <c r="AC142" s="0" t="s">
        <v>109</v>
      </c>
    </row>
    <row r="143">
      <c r="A143" s="0" t="s">
        <v>28</v>
      </c>
      <c r="B143" s="0" t="s">
        <v>30</v>
      </c>
      <c r="C143" s="0" t="s">
        <v>127</v>
      </c>
      <c r="D143" s="0" t="s">
        <v>762</v>
      </c>
      <c r="E143" s="0" t="s">
        <v>229</v>
      </c>
      <c r="F143" s="0">
        <v>0</v>
      </c>
      <c r="G143" s="0" t="s">
        <v>106</v>
      </c>
      <c r="H143" s="0">
        <v>0</v>
      </c>
      <c r="I143" s="0">
        <v>0</v>
      </c>
      <c r="J143" s="0">
        <v>0</v>
      </c>
      <c r="K143" s="0">
        <v>0</v>
      </c>
      <c r="L143" s="0">
        <v>0</v>
      </c>
      <c r="M143" s="0">
        <v>0</v>
      </c>
      <c r="N143" s="0" t="b">
        <v>0</v>
      </c>
      <c r="O143" s="2">
        <v>44613.583333333336</v>
      </c>
      <c r="P143" s="2">
        <v>44613.625</v>
      </c>
      <c r="Q143" s="2">
        <v>44613.208333333336</v>
      </c>
      <c r="R143" s="2">
        <v>44613.25</v>
      </c>
      <c r="S143" s="0">
        <v>60</v>
      </c>
      <c r="T143" s="0">
        <v>12</v>
      </c>
      <c r="U143" s="0">
        <v>39</v>
      </c>
      <c r="V143" s="0">
        <v>1210</v>
      </c>
      <c r="W143" s="1">
        <f>=HYPERLINK("10.175.1.14\MWEB.12\SEP\EntityDetails.10.175.1.14.MWEB.12.-niet5738484.1210.xlsx", "&lt;Detail&gt;")</f>
      </c>
      <c r="X143" s="1">
        <f>=HYPERLINK("10.175.1.14\MWEB.12\SEP\MetricGraphs.SEP.10.175.1.14.MWEB.12.xlsx", "&lt;Metrics&gt;")</f>
      </c>
      <c r="Y143" s="0" t="s">
        <v>107</v>
      </c>
      <c r="Z143" s="0" t="s">
        <v>108</v>
      </c>
      <c r="AA143" s="0" t="s">
        <v>128</v>
      </c>
      <c r="AB143" s="0" t="s">
        <v>763</v>
      </c>
      <c r="AC143" s="0" t="s">
        <v>109</v>
      </c>
    </row>
    <row r="144">
      <c r="A144" s="0" t="s">
        <v>28</v>
      </c>
      <c r="B144" s="0" t="s">
        <v>30</v>
      </c>
      <c r="C144" s="0" t="s">
        <v>127</v>
      </c>
      <c r="D144" s="0" t="s">
        <v>764</v>
      </c>
      <c r="E144" s="0" t="s">
        <v>229</v>
      </c>
      <c r="F144" s="0">
        <v>0</v>
      </c>
      <c r="G144" s="0" t="s">
        <v>106</v>
      </c>
      <c r="H144" s="0">
        <v>0</v>
      </c>
      <c r="I144" s="0">
        <v>0</v>
      </c>
      <c r="J144" s="0">
        <v>0</v>
      </c>
      <c r="K144" s="0">
        <v>0</v>
      </c>
      <c r="L144" s="0">
        <v>0</v>
      </c>
      <c r="M144" s="0">
        <v>0</v>
      </c>
      <c r="N144" s="0" t="b">
        <v>0</v>
      </c>
      <c r="O144" s="2">
        <v>44613.583333333336</v>
      </c>
      <c r="P144" s="2">
        <v>44613.625</v>
      </c>
      <c r="Q144" s="2">
        <v>44613.208333333336</v>
      </c>
      <c r="R144" s="2">
        <v>44613.25</v>
      </c>
      <c r="S144" s="0">
        <v>60</v>
      </c>
      <c r="T144" s="0">
        <v>12</v>
      </c>
      <c r="U144" s="0">
        <v>39</v>
      </c>
      <c r="V144" s="0">
        <v>1212</v>
      </c>
      <c r="W144" s="1">
        <f>=HYPERLINK("10.175.1.14\MWEB.12\SEP\EntityDetails.10.175.1.14.MWEB.12.-niet9360349.1212.xlsx", "&lt;Detail&gt;")</f>
      </c>
      <c r="X144" s="1">
        <f>=HYPERLINK("10.175.1.14\MWEB.12\SEP\MetricGraphs.SEP.10.175.1.14.MWEB.12.xlsx", "&lt;Metrics&gt;")</f>
      </c>
      <c r="Y144" s="0" t="s">
        <v>107</v>
      </c>
      <c r="Z144" s="0" t="s">
        <v>108</v>
      </c>
      <c r="AA144" s="0" t="s">
        <v>128</v>
      </c>
      <c r="AB144" s="0" t="s">
        <v>765</v>
      </c>
      <c r="AC144" s="0" t="s">
        <v>109</v>
      </c>
    </row>
    <row r="145">
      <c r="A145" s="0" t="s">
        <v>28</v>
      </c>
      <c r="B145" s="0" t="s">
        <v>30</v>
      </c>
      <c r="C145" s="0" t="s">
        <v>125</v>
      </c>
      <c r="D145" s="0" t="s">
        <v>766</v>
      </c>
      <c r="E145" s="0" t="s">
        <v>229</v>
      </c>
      <c r="F145" s="0">
        <v>0</v>
      </c>
      <c r="G145" s="0" t="s">
        <v>106</v>
      </c>
      <c r="H145" s="0">
        <v>0</v>
      </c>
      <c r="I145" s="0">
        <v>0</v>
      </c>
      <c r="J145" s="0">
        <v>0</v>
      </c>
      <c r="K145" s="0">
        <v>0</v>
      </c>
      <c r="L145" s="0">
        <v>0</v>
      </c>
      <c r="M145" s="0">
        <v>0</v>
      </c>
      <c r="N145" s="0" t="b">
        <v>0</v>
      </c>
      <c r="O145" s="2">
        <v>44613.583333333336</v>
      </c>
      <c r="P145" s="2">
        <v>44613.625</v>
      </c>
      <c r="Q145" s="2">
        <v>44613.208333333336</v>
      </c>
      <c r="R145" s="2">
        <v>44613.25</v>
      </c>
      <c r="S145" s="0">
        <v>60</v>
      </c>
      <c r="T145" s="0">
        <v>12</v>
      </c>
      <c r="U145" s="0">
        <v>42</v>
      </c>
      <c r="V145" s="0">
        <v>332</v>
      </c>
      <c r="W145" s="1">
        <f>=HYPERLINK("10.175.1.14\MWEB.12\SEP\EntityDetails.10.175.1.14.MWEB.12.-OEM-CGI_ous.332.xlsx", "&lt;Detail&gt;")</f>
      </c>
      <c r="X145" s="1">
        <f>=HYPERLINK("10.175.1.14\MWEB.12\SEP\MetricGraphs.SEP.10.175.1.14.MWEB.12.xlsx", "&lt;Metrics&gt;")</f>
      </c>
      <c r="Y145" s="0" t="s">
        <v>107</v>
      </c>
      <c r="Z145" s="0" t="s">
        <v>108</v>
      </c>
      <c r="AA145" s="0" t="s">
        <v>126</v>
      </c>
      <c r="AB145" s="0" t="s">
        <v>767</v>
      </c>
      <c r="AC145" s="0" t="s">
        <v>109</v>
      </c>
    </row>
    <row r="146">
      <c r="A146" s="0" t="s">
        <v>28</v>
      </c>
      <c r="B146" s="0" t="s">
        <v>30</v>
      </c>
      <c r="C146" s="0" t="s">
        <v>133</v>
      </c>
      <c r="D146" s="0" t="s">
        <v>766</v>
      </c>
      <c r="E146" s="0" t="s">
        <v>229</v>
      </c>
      <c r="F146" s="0">
        <v>0</v>
      </c>
      <c r="G146" s="0" t="s">
        <v>106</v>
      </c>
      <c r="H146" s="0">
        <v>0</v>
      </c>
      <c r="I146" s="0">
        <v>0</v>
      </c>
      <c r="J146" s="0">
        <v>0</v>
      </c>
      <c r="K146" s="0">
        <v>0</v>
      </c>
      <c r="L146" s="0">
        <v>0</v>
      </c>
      <c r="M146" s="0">
        <v>0</v>
      </c>
      <c r="N146" s="0" t="b">
        <v>0</v>
      </c>
      <c r="O146" s="2">
        <v>44613.583333333336</v>
      </c>
      <c r="P146" s="2">
        <v>44613.625</v>
      </c>
      <c r="Q146" s="2">
        <v>44613.208333333336</v>
      </c>
      <c r="R146" s="2">
        <v>44613.25</v>
      </c>
      <c r="S146" s="0">
        <v>60</v>
      </c>
      <c r="T146" s="0">
        <v>12</v>
      </c>
      <c r="U146" s="0">
        <v>36</v>
      </c>
      <c r="V146" s="0">
        <v>455</v>
      </c>
      <c r="W146" s="1">
        <f>=HYPERLINK("10.175.1.14\MWEB.12\SEP\EntityDetails.10.175.1.14.MWEB.12.-OEM-CGI_ous.455.xlsx", "&lt;Detail&gt;")</f>
      </c>
      <c r="X146" s="1">
        <f>=HYPERLINK("10.175.1.14\MWEB.12\SEP\MetricGraphs.SEP.10.175.1.14.MWEB.12.xlsx", "&lt;Metrics&gt;")</f>
      </c>
      <c r="Y146" s="0" t="s">
        <v>107</v>
      </c>
      <c r="Z146" s="0" t="s">
        <v>108</v>
      </c>
      <c r="AA146" s="0" t="s">
        <v>134</v>
      </c>
      <c r="AB146" s="0" t="s">
        <v>768</v>
      </c>
      <c r="AC146" s="0" t="s">
        <v>109</v>
      </c>
    </row>
    <row r="147">
      <c r="A147" s="0" t="s">
        <v>28</v>
      </c>
      <c r="B147" s="0" t="s">
        <v>30</v>
      </c>
      <c r="C147" s="0" t="s">
        <v>145</v>
      </c>
      <c r="D147" s="0" t="s">
        <v>479</v>
      </c>
      <c r="E147" s="0" t="s">
        <v>229</v>
      </c>
      <c r="F147" s="0">
        <v>0</v>
      </c>
      <c r="G147" s="0" t="s">
        <v>106</v>
      </c>
      <c r="H147" s="0">
        <v>0</v>
      </c>
      <c r="I147" s="0">
        <v>0</v>
      </c>
      <c r="J147" s="0">
        <v>0</v>
      </c>
      <c r="K147" s="0">
        <v>0</v>
      </c>
      <c r="L147" s="0">
        <v>0</v>
      </c>
      <c r="M147" s="0">
        <v>0</v>
      </c>
      <c r="N147" s="0" t="b">
        <v>0</v>
      </c>
      <c r="O147" s="2">
        <v>44613.583333333336</v>
      </c>
      <c r="P147" s="2">
        <v>44613.625</v>
      </c>
      <c r="Q147" s="2">
        <v>44613.208333333336</v>
      </c>
      <c r="R147" s="2">
        <v>44613.25</v>
      </c>
      <c r="S147" s="0">
        <v>60</v>
      </c>
      <c r="T147" s="0">
        <v>12</v>
      </c>
      <c r="U147" s="0">
        <v>34</v>
      </c>
      <c r="V147" s="0">
        <v>349</v>
      </c>
      <c r="W147" s="1">
        <f>=HYPERLINK("10.175.1.14\MWEB.12\SEP\EntityDetails.10.175.1.14.MWEB.12.-ondelay-Hea.349.xlsx", "&lt;Detail&gt;")</f>
      </c>
      <c r="X147" s="1">
        <f>=HYPERLINK("10.175.1.14\MWEB.12\SEP\MetricGraphs.SEP.10.175.1.14.MWEB.12.xlsx", "&lt;Metrics&gt;")</f>
      </c>
      <c r="Y147" s="0" t="s">
        <v>107</v>
      </c>
      <c r="Z147" s="0" t="s">
        <v>108</v>
      </c>
      <c r="AA147" s="0" t="s">
        <v>146</v>
      </c>
      <c r="AB147" s="0" t="s">
        <v>769</v>
      </c>
      <c r="AC147" s="0" t="s">
        <v>109</v>
      </c>
    </row>
    <row r="148">
      <c r="A148" s="0" t="s">
        <v>28</v>
      </c>
      <c r="B148" s="0" t="s">
        <v>30</v>
      </c>
      <c r="C148" s="0" t="s">
        <v>165</v>
      </c>
      <c r="D148" s="0" t="s">
        <v>479</v>
      </c>
      <c r="E148" s="0" t="s">
        <v>229</v>
      </c>
      <c r="F148" s="0">
        <v>0</v>
      </c>
      <c r="G148" s="0" t="s">
        <v>106</v>
      </c>
      <c r="H148" s="0">
        <v>0</v>
      </c>
      <c r="I148" s="0">
        <v>0</v>
      </c>
      <c r="J148" s="0">
        <v>0</v>
      </c>
      <c r="K148" s="0">
        <v>0</v>
      </c>
      <c r="L148" s="0">
        <v>0</v>
      </c>
      <c r="M148" s="0">
        <v>0</v>
      </c>
      <c r="N148" s="0" t="b">
        <v>0</v>
      </c>
      <c r="O148" s="2">
        <v>44613.583333333336</v>
      </c>
      <c r="P148" s="2">
        <v>44613.625</v>
      </c>
      <c r="Q148" s="2">
        <v>44613.208333333336</v>
      </c>
      <c r="R148" s="2">
        <v>44613.25</v>
      </c>
      <c r="S148" s="0">
        <v>60</v>
      </c>
      <c r="T148" s="0">
        <v>12</v>
      </c>
      <c r="U148" s="0">
        <v>47</v>
      </c>
      <c r="V148" s="0">
        <v>1954</v>
      </c>
      <c r="W148" s="1">
        <f>=HYPERLINK("10.175.1.14\MWEB.12\SEP\EntityDetails.10.175.1.14.MWEB.12.-ondelay-Hea.1954.xlsx", "&lt;Detail&gt;")</f>
      </c>
      <c r="X148" s="1">
        <f>=HYPERLINK("10.175.1.14\MWEB.12\SEP\MetricGraphs.SEP.10.175.1.14.MWEB.12.xlsx", "&lt;Metrics&gt;")</f>
      </c>
      <c r="Y148" s="0" t="s">
        <v>107</v>
      </c>
      <c r="Z148" s="0" t="s">
        <v>108</v>
      </c>
      <c r="AA148" s="0" t="s">
        <v>166</v>
      </c>
      <c r="AB148" s="0" t="s">
        <v>770</v>
      </c>
      <c r="AC148" s="0" t="s">
        <v>109</v>
      </c>
    </row>
    <row r="149">
      <c r="A149" s="0" t="s">
        <v>28</v>
      </c>
      <c r="B149" s="0" t="s">
        <v>30</v>
      </c>
      <c r="C149" s="0" t="s">
        <v>165</v>
      </c>
      <c r="D149" s="0" t="s">
        <v>771</v>
      </c>
      <c r="E149" s="0" t="s">
        <v>229</v>
      </c>
      <c r="F149" s="0">
        <v>0</v>
      </c>
      <c r="G149" s="0" t="s">
        <v>106</v>
      </c>
      <c r="H149" s="0">
        <v>0</v>
      </c>
      <c r="I149" s="0">
        <v>0</v>
      </c>
      <c r="J149" s="0">
        <v>0</v>
      </c>
      <c r="K149" s="0">
        <v>0</v>
      </c>
      <c r="L149" s="0">
        <v>0</v>
      </c>
      <c r="M149" s="0">
        <v>0</v>
      </c>
      <c r="N149" s="0" t="b">
        <v>0</v>
      </c>
      <c r="O149" s="2">
        <v>44613.583333333336</v>
      </c>
      <c r="P149" s="2">
        <v>44613.625</v>
      </c>
      <c r="Q149" s="2">
        <v>44613.208333333336</v>
      </c>
      <c r="R149" s="2">
        <v>44613.25</v>
      </c>
      <c r="S149" s="0">
        <v>60</v>
      </c>
      <c r="T149" s="0">
        <v>12</v>
      </c>
      <c r="U149" s="0">
        <v>47</v>
      </c>
      <c r="V149" s="0">
        <v>5038</v>
      </c>
      <c r="W149" s="1">
        <f>=HYPERLINK("10.175.1.14\MWEB.12\SEP\EntityDetails.10.175.1.14.MWEB.12.-ondelay-hel.5038.xlsx", "&lt;Detail&gt;")</f>
      </c>
      <c r="X149" s="1">
        <f>=HYPERLINK("10.175.1.14\MWEB.12\SEP\MetricGraphs.SEP.10.175.1.14.MWEB.12.xlsx", "&lt;Metrics&gt;")</f>
      </c>
      <c r="Y149" s="0" t="s">
        <v>107</v>
      </c>
      <c r="Z149" s="0" t="s">
        <v>108</v>
      </c>
      <c r="AA149" s="0" t="s">
        <v>166</v>
      </c>
      <c r="AB149" s="0" t="s">
        <v>772</v>
      </c>
      <c r="AC149" s="0" t="s">
        <v>109</v>
      </c>
    </row>
    <row r="150">
      <c r="A150" s="0" t="s">
        <v>28</v>
      </c>
      <c r="B150" s="0" t="s">
        <v>30</v>
      </c>
      <c r="C150" s="0" t="s">
        <v>125</v>
      </c>
      <c r="D150" s="0" t="s">
        <v>482</v>
      </c>
      <c r="E150" s="0" t="s">
        <v>229</v>
      </c>
      <c r="F150" s="0">
        <v>0</v>
      </c>
      <c r="G150" s="0" t="s">
        <v>106</v>
      </c>
      <c r="H150" s="0">
        <v>0</v>
      </c>
      <c r="I150" s="0">
        <v>0</v>
      </c>
      <c r="J150" s="0">
        <v>0</v>
      </c>
      <c r="K150" s="0">
        <v>0</v>
      </c>
      <c r="L150" s="0">
        <v>0</v>
      </c>
      <c r="M150" s="0">
        <v>0</v>
      </c>
      <c r="N150" s="0" t="b">
        <v>0</v>
      </c>
      <c r="O150" s="2">
        <v>44613.583333333336</v>
      </c>
      <c r="P150" s="2">
        <v>44613.625</v>
      </c>
      <c r="Q150" s="2">
        <v>44613.208333333336</v>
      </c>
      <c r="R150" s="2">
        <v>44613.25</v>
      </c>
      <c r="S150" s="0">
        <v>60</v>
      </c>
      <c r="T150" s="0">
        <v>12</v>
      </c>
      <c r="U150" s="0">
        <v>42</v>
      </c>
      <c r="V150" s="0">
        <v>168</v>
      </c>
      <c r="W150" s="1">
        <f>=HYPERLINK("10.175.1.14\MWEB.12\SEP\EntityDetails.10.175.1.14.MWEB.12.-ondelay-odc.168.xlsx", "&lt;Detail&gt;")</f>
      </c>
      <c r="X150" s="1">
        <f>=HYPERLINK("10.175.1.14\MWEB.12\SEP\MetricGraphs.SEP.10.175.1.14.MWEB.12.xlsx", "&lt;Metrics&gt;")</f>
      </c>
      <c r="Y150" s="0" t="s">
        <v>107</v>
      </c>
      <c r="Z150" s="0" t="s">
        <v>108</v>
      </c>
      <c r="AA150" s="0" t="s">
        <v>126</v>
      </c>
      <c r="AB150" s="0" t="s">
        <v>773</v>
      </c>
      <c r="AC150" s="0" t="s">
        <v>109</v>
      </c>
    </row>
    <row r="151">
      <c r="A151" s="0" t="s">
        <v>28</v>
      </c>
      <c r="B151" s="0" t="s">
        <v>30</v>
      </c>
      <c r="C151" s="0" t="s">
        <v>133</v>
      </c>
      <c r="D151" s="0" t="s">
        <v>482</v>
      </c>
      <c r="E151" s="0" t="s">
        <v>229</v>
      </c>
      <c r="F151" s="0">
        <v>0</v>
      </c>
      <c r="G151" s="0" t="s">
        <v>106</v>
      </c>
      <c r="H151" s="0">
        <v>0</v>
      </c>
      <c r="I151" s="0">
        <v>0</v>
      </c>
      <c r="J151" s="0">
        <v>0</v>
      </c>
      <c r="K151" s="0">
        <v>0</v>
      </c>
      <c r="L151" s="0">
        <v>0</v>
      </c>
      <c r="M151" s="0">
        <v>0</v>
      </c>
      <c r="N151" s="0" t="b">
        <v>0</v>
      </c>
      <c r="O151" s="2">
        <v>44613.583333333336</v>
      </c>
      <c r="P151" s="2">
        <v>44613.625</v>
      </c>
      <c r="Q151" s="2">
        <v>44613.208333333336</v>
      </c>
      <c r="R151" s="2">
        <v>44613.25</v>
      </c>
      <c r="S151" s="0">
        <v>60</v>
      </c>
      <c r="T151" s="0">
        <v>12</v>
      </c>
      <c r="U151" s="0">
        <v>36</v>
      </c>
      <c r="V151" s="0">
        <v>159</v>
      </c>
      <c r="W151" s="1">
        <f>=HYPERLINK("10.175.1.14\MWEB.12\SEP\EntityDetails.10.175.1.14.MWEB.12.-ondelay-odc.159.xlsx", "&lt;Detail&gt;")</f>
      </c>
      <c r="X151" s="1">
        <f>=HYPERLINK("10.175.1.14\MWEB.12\SEP\MetricGraphs.SEP.10.175.1.14.MWEB.12.xlsx", "&lt;Metrics&gt;")</f>
      </c>
      <c r="Y151" s="0" t="s">
        <v>107</v>
      </c>
      <c r="Z151" s="0" t="s">
        <v>108</v>
      </c>
      <c r="AA151" s="0" t="s">
        <v>134</v>
      </c>
      <c r="AB151" s="0" t="s">
        <v>774</v>
      </c>
      <c r="AC151" s="0" t="s">
        <v>109</v>
      </c>
    </row>
    <row r="152">
      <c r="A152" s="0" t="s">
        <v>28</v>
      </c>
      <c r="B152" s="0" t="s">
        <v>30</v>
      </c>
      <c r="C152" s="0" t="s">
        <v>145</v>
      </c>
      <c r="D152" s="0" t="s">
        <v>482</v>
      </c>
      <c r="E152" s="0" t="s">
        <v>229</v>
      </c>
      <c r="F152" s="0">
        <v>0</v>
      </c>
      <c r="G152" s="0" t="s">
        <v>106</v>
      </c>
      <c r="H152" s="0">
        <v>0</v>
      </c>
      <c r="I152" s="0">
        <v>0</v>
      </c>
      <c r="J152" s="0">
        <v>0</v>
      </c>
      <c r="K152" s="0">
        <v>0</v>
      </c>
      <c r="L152" s="0">
        <v>0</v>
      </c>
      <c r="M152" s="0">
        <v>0</v>
      </c>
      <c r="N152" s="0" t="b">
        <v>0</v>
      </c>
      <c r="O152" s="2">
        <v>44613.583333333336</v>
      </c>
      <c r="P152" s="2">
        <v>44613.625</v>
      </c>
      <c r="Q152" s="2">
        <v>44613.208333333336</v>
      </c>
      <c r="R152" s="2">
        <v>44613.25</v>
      </c>
      <c r="S152" s="0">
        <v>60</v>
      </c>
      <c r="T152" s="0">
        <v>12</v>
      </c>
      <c r="U152" s="0">
        <v>34</v>
      </c>
      <c r="V152" s="0">
        <v>230</v>
      </c>
      <c r="W152" s="1">
        <f>=HYPERLINK("10.175.1.14\MWEB.12\SEP\EntityDetails.10.175.1.14.MWEB.12.-ondelay-odc.230.xlsx", "&lt;Detail&gt;")</f>
      </c>
      <c r="X152" s="1">
        <f>=HYPERLINK("10.175.1.14\MWEB.12\SEP\MetricGraphs.SEP.10.175.1.14.MWEB.12.xlsx", "&lt;Metrics&gt;")</f>
      </c>
      <c r="Y152" s="0" t="s">
        <v>107</v>
      </c>
      <c r="Z152" s="0" t="s">
        <v>108</v>
      </c>
      <c r="AA152" s="0" t="s">
        <v>146</v>
      </c>
      <c r="AB152" s="0" t="s">
        <v>775</v>
      </c>
      <c r="AC152" s="0" t="s">
        <v>109</v>
      </c>
    </row>
    <row r="153">
      <c r="A153" s="0" t="s">
        <v>28</v>
      </c>
      <c r="B153" s="0" t="s">
        <v>30</v>
      </c>
      <c r="C153" s="0" t="s">
        <v>165</v>
      </c>
      <c r="D153" s="0" t="s">
        <v>482</v>
      </c>
      <c r="E153" s="0" t="s">
        <v>229</v>
      </c>
      <c r="F153" s="0">
        <v>0</v>
      </c>
      <c r="G153" s="0" t="s">
        <v>106</v>
      </c>
      <c r="H153" s="0">
        <v>0</v>
      </c>
      <c r="I153" s="0">
        <v>0</v>
      </c>
      <c r="J153" s="0">
        <v>0</v>
      </c>
      <c r="K153" s="0">
        <v>0</v>
      </c>
      <c r="L153" s="0">
        <v>0</v>
      </c>
      <c r="M153" s="0">
        <v>0</v>
      </c>
      <c r="N153" s="0" t="b">
        <v>0</v>
      </c>
      <c r="O153" s="2">
        <v>44613.583333333336</v>
      </c>
      <c r="P153" s="2">
        <v>44613.625</v>
      </c>
      <c r="Q153" s="2">
        <v>44613.208333333336</v>
      </c>
      <c r="R153" s="2">
        <v>44613.25</v>
      </c>
      <c r="S153" s="0">
        <v>60</v>
      </c>
      <c r="T153" s="0">
        <v>12</v>
      </c>
      <c r="U153" s="0">
        <v>47</v>
      </c>
      <c r="V153" s="0">
        <v>2255</v>
      </c>
      <c r="W153" s="1">
        <f>=HYPERLINK("10.175.1.14\MWEB.12\SEP\EntityDetails.10.175.1.14.MWEB.12.-ondelay-odc.2255.xlsx", "&lt;Detail&gt;")</f>
      </c>
      <c r="X153" s="1">
        <f>=HYPERLINK("10.175.1.14\MWEB.12\SEP\MetricGraphs.SEP.10.175.1.14.MWEB.12.xlsx", "&lt;Metrics&gt;")</f>
      </c>
      <c r="Y153" s="0" t="s">
        <v>107</v>
      </c>
      <c r="Z153" s="0" t="s">
        <v>108</v>
      </c>
      <c r="AA153" s="0" t="s">
        <v>166</v>
      </c>
      <c r="AB153" s="0" t="s">
        <v>776</v>
      </c>
      <c r="AC153" s="0" t="s">
        <v>109</v>
      </c>
    </row>
    <row r="154">
      <c r="A154" s="0" t="s">
        <v>28</v>
      </c>
      <c r="B154" s="0" t="s">
        <v>30</v>
      </c>
      <c r="C154" s="0" t="s">
        <v>127</v>
      </c>
      <c r="D154" s="0" t="s">
        <v>486</v>
      </c>
      <c r="E154" s="0" t="s">
        <v>229</v>
      </c>
      <c r="F154" s="0">
        <v>0</v>
      </c>
      <c r="G154" s="0" t="s">
        <v>106</v>
      </c>
      <c r="H154" s="0">
        <v>0</v>
      </c>
      <c r="I154" s="0">
        <v>0</v>
      </c>
      <c r="J154" s="0">
        <v>0</v>
      </c>
      <c r="K154" s="0">
        <v>0</v>
      </c>
      <c r="L154" s="0">
        <v>0</v>
      </c>
      <c r="M154" s="0">
        <v>0</v>
      </c>
      <c r="N154" s="0" t="b">
        <v>0</v>
      </c>
      <c r="O154" s="2">
        <v>44613.583333333336</v>
      </c>
      <c r="P154" s="2">
        <v>44613.625</v>
      </c>
      <c r="Q154" s="2">
        <v>44613.208333333336</v>
      </c>
      <c r="R154" s="2">
        <v>44613.25</v>
      </c>
      <c r="S154" s="0">
        <v>60</v>
      </c>
      <c r="T154" s="0">
        <v>12</v>
      </c>
      <c r="U154" s="0">
        <v>39</v>
      </c>
      <c r="V154" s="0">
        <v>122</v>
      </c>
      <c r="W154" s="1">
        <f>=HYPERLINK("10.175.1.14\MWEB.12\SEP\EntityDetails.10.175.1.14.MWEB.12.-online-addr.122.xlsx", "&lt;Detail&gt;")</f>
      </c>
      <c r="X154" s="1">
        <f>=HYPERLINK("10.175.1.14\MWEB.12\SEP\MetricGraphs.SEP.10.175.1.14.MWEB.12.xlsx", "&lt;Metrics&gt;")</f>
      </c>
      <c r="Y154" s="0" t="s">
        <v>107</v>
      </c>
      <c r="Z154" s="0" t="s">
        <v>108</v>
      </c>
      <c r="AA154" s="0" t="s">
        <v>128</v>
      </c>
      <c r="AB154" s="0" t="s">
        <v>777</v>
      </c>
      <c r="AC154" s="0" t="s">
        <v>109</v>
      </c>
    </row>
    <row r="155">
      <c r="A155" s="0" t="s">
        <v>28</v>
      </c>
      <c r="B155" s="0" t="s">
        <v>30</v>
      </c>
      <c r="C155" s="0" t="s">
        <v>127</v>
      </c>
      <c r="D155" s="0" t="s">
        <v>488</v>
      </c>
      <c r="E155" s="0" t="s">
        <v>229</v>
      </c>
      <c r="F155" s="0">
        <v>0</v>
      </c>
      <c r="G155" s="0" t="s">
        <v>106</v>
      </c>
      <c r="H155" s="0">
        <v>0</v>
      </c>
      <c r="I155" s="0">
        <v>0</v>
      </c>
      <c r="J155" s="0">
        <v>0</v>
      </c>
      <c r="K155" s="0">
        <v>0</v>
      </c>
      <c r="L155" s="0">
        <v>0</v>
      </c>
      <c r="M155" s="0">
        <v>0</v>
      </c>
      <c r="N155" s="0" t="b">
        <v>0</v>
      </c>
      <c r="O155" s="2">
        <v>44613.583333333336</v>
      </c>
      <c r="P155" s="2">
        <v>44613.625</v>
      </c>
      <c r="Q155" s="2">
        <v>44613.208333333336</v>
      </c>
      <c r="R155" s="2">
        <v>44613.25</v>
      </c>
      <c r="S155" s="0">
        <v>60</v>
      </c>
      <c r="T155" s="0">
        <v>12</v>
      </c>
      <c r="U155" s="0">
        <v>39</v>
      </c>
      <c r="V155" s="0">
        <v>134</v>
      </c>
      <c r="W155" s="1">
        <f>=HYPERLINK("10.175.1.14\MWEB.12\SEP\EntityDetails.10.175.1.14.MWEB.12.-online-bank.134.xlsx", "&lt;Detail&gt;")</f>
      </c>
      <c r="X155" s="1">
        <f>=HYPERLINK("10.175.1.14\MWEB.12\SEP\MetricGraphs.SEP.10.175.1.14.MWEB.12.xlsx", "&lt;Metrics&gt;")</f>
      </c>
      <c r="Y155" s="0" t="s">
        <v>107</v>
      </c>
      <c r="Z155" s="0" t="s">
        <v>108</v>
      </c>
      <c r="AA155" s="0" t="s">
        <v>128</v>
      </c>
      <c r="AB155" s="0" t="s">
        <v>778</v>
      </c>
      <c r="AC155" s="0" t="s">
        <v>109</v>
      </c>
    </row>
    <row r="156">
      <c r="A156" s="0" t="s">
        <v>28</v>
      </c>
      <c r="B156" s="0" t="s">
        <v>30</v>
      </c>
      <c r="C156" s="0" t="s">
        <v>127</v>
      </c>
      <c r="D156" s="0" t="s">
        <v>490</v>
      </c>
      <c r="E156" s="0" t="s">
        <v>229</v>
      </c>
      <c r="F156" s="0">
        <v>0</v>
      </c>
      <c r="G156" s="0" t="s">
        <v>106</v>
      </c>
      <c r="H156" s="0">
        <v>0</v>
      </c>
      <c r="I156" s="0">
        <v>0</v>
      </c>
      <c r="J156" s="0">
        <v>0</v>
      </c>
      <c r="K156" s="0">
        <v>0</v>
      </c>
      <c r="L156" s="0">
        <v>0</v>
      </c>
      <c r="M156" s="0">
        <v>0</v>
      </c>
      <c r="N156" s="0" t="b">
        <v>0</v>
      </c>
      <c r="O156" s="2">
        <v>44613.583333333336</v>
      </c>
      <c r="P156" s="2">
        <v>44613.625</v>
      </c>
      <c r="Q156" s="2">
        <v>44613.208333333336</v>
      </c>
      <c r="R156" s="2">
        <v>44613.25</v>
      </c>
      <c r="S156" s="0">
        <v>60</v>
      </c>
      <c r="T156" s="0">
        <v>12</v>
      </c>
      <c r="U156" s="0">
        <v>39</v>
      </c>
      <c r="V156" s="0">
        <v>133</v>
      </c>
      <c r="W156" s="1">
        <f>=HYPERLINK("10.175.1.14\MWEB.12\SEP\EntityDetails.10.175.1.14.MWEB.12.-online-bank.133.xlsx", "&lt;Detail&gt;")</f>
      </c>
      <c r="X156" s="1">
        <f>=HYPERLINK("10.175.1.14\MWEB.12\SEP\MetricGraphs.SEP.10.175.1.14.MWEB.12.xlsx", "&lt;Metrics&gt;")</f>
      </c>
      <c r="Y156" s="0" t="s">
        <v>107</v>
      </c>
      <c r="Z156" s="0" t="s">
        <v>108</v>
      </c>
      <c r="AA156" s="0" t="s">
        <v>128</v>
      </c>
      <c r="AB156" s="0" t="s">
        <v>779</v>
      </c>
      <c r="AC156" s="0" t="s">
        <v>109</v>
      </c>
    </row>
    <row r="157">
      <c r="A157" s="0" t="s">
        <v>28</v>
      </c>
      <c r="B157" s="0" t="s">
        <v>30</v>
      </c>
      <c r="C157" s="0" t="s">
        <v>127</v>
      </c>
      <c r="D157" s="0" t="s">
        <v>492</v>
      </c>
      <c r="E157" s="0" t="s">
        <v>229</v>
      </c>
      <c r="F157" s="0">
        <v>0</v>
      </c>
      <c r="G157" s="0" t="s">
        <v>106</v>
      </c>
      <c r="H157" s="0">
        <v>0</v>
      </c>
      <c r="I157" s="0">
        <v>0</v>
      </c>
      <c r="J157" s="0">
        <v>0</v>
      </c>
      <c r="K157" s="0">
        <v>0</v>
      </c>
      <c r="L157" s="0">
        <v>0</v>
      </c>
      <c r="M157" s="0">
        <v>0</v>
      </c>
      <c r="N157" s="0" t="b">
        <v>0</v>
      </c>
      <c r="O157" s="2">
        <v>44613.583333333336</v>
      </c>
      <c r="P157" s="2">
        <v>44613.625</v>
      </c>
      <c r="Q157" s="2">
        <v>44613.208333333336</v>
      </c>
      <c r="R157" s="2">
        <v>44613.25</v>
      </c>
      <c r="S157" s="0">
        <v>60</v>
      </c>
      <c r="T157" s="0">
        <v>12</v>
      </c>
      <c r="U157" s="0">
        <v>39</v>
      </c>
      <c r="V157" s="0">
        <v>152</v>
      </c>
      <c r="W157" s="1">
        <f>=HYPERLINK("10.175.1.14\MWEB.12\SEP\EntityDetails.10.175.1.14.MWEB.12.-online-bank.152.xlsx", "&lt;Detail&gt;")</f>
      </c>
      <c r="X157" s="1">
        <f>=HYPERLINK("10.175.1.14\MWEB.12\SEP\MetricGraphs.SEP.10.175.1.14.MWEB.12.xlsx", "&lt;Metrics&gt;")</f>
      </c>
      <c r="Y157" s="0" t="s">
        <v>107</v>
      </c>
      <c r="Z157" s="0" t="s">
        <v>108</v>
      </c>
      <c r="AA157" s="0" t="s">
        <v>128</v>
      </c>
      <c r="AB157" s="0" t="s">
        <v>780</v>
      </c>
      <c r="AC157" s="0" t="s">
        <v>109</v>
      </c>
    </row>
    <row r="158">
      <c r="A158" s="0" t="s">
        <v>28</v>
      </c>
      <c r="B158" s="0" t="s">
        <v>30</v>
      </c>
      <c r="C158" s="0" t="s">
        <v>127</v>
      </c>
      <c r="D158" s="0" t="s">
        <v>494</v>
      </c>
      <c r="E158" s="0" t="s">
        <v>229</v>
      </c>
      <c r="F158" s="0">
        <v>0</v>
      </c>
      <c r="G158" s="0" t="s">
        <v>106</v>
      </c>
      <c r="H158" s="0">
        <v>0</v>
      </c>
      <c r="I158" s="0">
        <v>0</v>
      </c>
      <c r="J158" s="0">
        <v>0</v>
      </c>
      <c r="K158" s="0">
        <v>0</v>
      </c>
      <c r="L158" s="0">
        <v>0</v>
      </c>
      <c r="M158" s="0">
        <v>0</v>
      </c>
      <c r="N158" s="0" t="b">
        <v>0</v>
      </c>
      <c r="O158" s="2">
        <v>44613.583333333336</v>
      </c>
      <c r="P158" s="2">
        <v>44613.625</v>
      </c>
      <c r="Q158" s="2">
        <v>44613.208333333336</v>
      </c>
      <c r="R158" s="2">
        <v>44613.25</v>
      </c>
      <c r="S158" s="0">
        <v>60</v>
      </c>
      <c r="T158" s="0">
        <v>12</v>
      </c>
      <c r="U158" s="0">
        <v>39</v>
      </c>
      <c r="V158" s="0">
        <v>145</v>
      </c>
      <c r="W158" s="1">
        <f>=HYPERLINK("10.175.1.14\MWEB.12\SEP\EntityDetails.10.175.1.14.MWEB.12.-online-bank.145.xlsx", "&lt;Detail&gt;")</f>
      </c>
      <c r="X158" s="1">
        <f>=HYPERLINK("10.175.1.14\MWEB.12\SEP\MetricGraphs.SEP.10.175.1.14.MWEB.12.xlsx", "&lt;Metrics&gt;")</f>
      </c>
      <c r="Y158" s="0" t="s">
        <v>107</v>
      </c>
      <c r="Z158" s="0" t="s">
        <v>108</v>
      </c>
      <c r="AA158" s="0" t="s">
        <v>128</v>
      </c>
      <c r="AB158" s="0" t="s">
        <v>781</v>
      </c>
      <c r="AC158" s="0" t="s">
        <v>109</v>
      </c>
    </row>
    <row r="159">
      <c r="A159" s="0" t="s">
        <v>28</v>
      </c>
      <c r="B159" s="0" t="s">
        <v>30</v>
      </c>
      <c r="C159" s="0" t="s">
        <v>127</v>
      </c>
      <c r="D159" s="0" t="s">
        <v>782</v>
      </c>
      <c r="E159" s="0" t="s">
        <v>229</v>
      </c>
      <c r="F159" s="0">
        <v>0</v>
      </c>
      <c r="G159" s="0" t="s">
        <v>106</v>
      </c>
      <c r="H159" s="0">
        <v>0</v>
      </c>
      <c r="I159" s="0">
        <v>0</v>
      </c>
      <c r="J159" s="0">
        <v>0</v>
      </c>
      <c r="K159" s="0">
        <v>0</v>
      </c>
      <c r="L159" s="0">
        <v>0</v>
      </c>
      <c r="M159" s="0">
        <v>0</v>
      </c>
      <c r="N159" s="0" t="b">
        <v>0</v>
      </c>
      <c r="O159" s="2">
        <v>44613.583333333336</v>
      </c>
      <c r="P159" s="2">
        <v>44613.625</v>
      </c>
      <c r="Q159" s="2">
        <v>44613.208333333336</v>
      </c>
      <c r="R159" s="2">
        <v>44613.25</v>
      </c>
      <c r="S159" s="0">
        <v>60</v>
      </c>
      <c r="T159" s="0">
        <v>12</v>
      </c>
      <c r="U159" s="0">
        <v>39</v>
      </c>
      <c r="V159" s="0">
        <v>144</v>
      </c>
      <c r="W159" s="1">
        <f>=HYPERLINK("10.175.1.14\MWEB.12\SEP\EntityDetails.10.175.1.14.MWEB.12.-online-bank.144.xlsx", "&lt;Detail&gt;")</f>
      </c>
      <c r="X159" s="1">
        <f>=HYPERLINK("10.175.1.14\MWEB.12\SEP\MetricGraphs.SEP.10.175.1.14.MWEB.12.xlsx", "&lt;Metrics&gt;")</f>
      </c>
      <c r="Y159" s="0" t="s">
        <v>107</v>
      </c>
      <c r="Z159" s="0" t="s">
        <v>108</v>
      </c>
      <c r="AA159" s="0" t="s">
        <v>128</v>
      </c>
      <c r="AB159" s="0" t="s">
        <v>783</v>
      </c>
      <c r="AC159" s="0" t="s">
        <v>109</v>
      </c>
    </row>
    <row r="160">
      <c r="A160" s="0" t="s">
        <v>28</v>
      </c>
      <c r="B160" s="0" t="s">
        <v>30</v>
      </c>
      <c r="C160" s="0" t="s">
        <v>127</v>
      </c>
      <c r="D160" s="0" t="s">
        <v>496</v>
      </c>
      <c r="E160" s="0" t="s">
        <v>229</v>
      </c>
      <c r="F160" s="0">
        <v>0</v>
      </c>
      <c r="G160" s="0" t="s">
        <v>106</v>
      </c>
      <c r="H160" s="0">
        <v>0</v>
      </c>
      <c r="I160" s="0">
        <v>0</v>
      </c>
      <c r="J160" s="0">
        <v>0</v>
      </c>
      <c r="K160" s="0">
        <v>0</v>
      </c>
      <c r="L160" s="0">
        <v>0</v>
      </c>
      <c r="M160" s="0">
        <v>0</v>
      </c>
      <c r="N160" s="0" t="b">
        <v>0</v>
      </c>
      <c r="O160" s="2">
        <v>44613.583333333336</v>
      </c>
      <c r="P160" s="2">
        <v>44613.625</v>
      </c>
      <c r="Q160" s="2">
        <v>44613.208333333336</v>
      </c>
      <c r="R160" s="2">
        <v>44613.25</v>
      </c>
      <c r="S160" s="0">
        <v>60</v>
      </c>
      <c r="T160" s="0">
        <v>12</v>
      </c>
      <c r="U160" s="0">
        <v>39</v>
      </c>
      <c r="V160" s="0">
        <v>130</v>
      </c>
      <c r="W160" s="1">
        <f>=HYPERLINK("10.175.1.14\MWEB.12\SEP\EntityDetails.10.175.1.14.MWEB.12.-online-bran.130.xlsx", "&lt;Detail&gt;")</f>
      </c>
      <c r="X160" s="1">
        <f>=HYPERLINK("10.175.1.14\MWEB.12\SEP\MetricGraphs.SEP.10.175.1.14.MWEB.12.xlsx", "&lt;Metrics&gt;")</f>
      </c>
      <c r="Y160" s="0" t="s">
        <v>107</v>
      </c>
      <c r="Z160" s="0" t="s">
        <v>108</v>
      </c>
      <c r="AA160" s="0" t="s">
        <v>128</v>
      </c>
      <c r="AB160" s="0" t="s">
        <v>784</v>
      </c>
      <c r="AC160" s="0" t="s">
        <v>109</v>
      </c>
    </row>
    <row r="161">
      <c r="A161" s="0" t="s">
        <v>28</v>
      </c>
      <c r="B161" s="0" t="s">
        <v>30</v>
      </c>
      <c r="C161" s="0" t="s">
        <v>127</v>
      </c>
      <c r="D161" s="0" t="s">
        <v>785</v>
      </c>
      <c r="E161" s="0" t="s">
        <v>229</v>
      </c>
      <c r="F161" s="0">
        <v>0</v>
      </c>
      <c r="G161" s="0" t="s">
        <v>106</v>
      </c>
      <c r="H161" s="0">
        <v>0</v>
      </c>
      <c r="I161" s="0">
        <v>0</v>
      </c>
      <c r="J161" s="0">
        <v>0</v>
      </c>
      <c r="K161" s="0">
        <v>0</v>
      </c>
      <c r="L161" s="0">
        <v>0</v>
      </c>
      <c r="M161" s="0">
        <v>0</v>
      </c>
      <c r="N161" s="0" t="b">
        <v>0</v>
      </c>
      <c r="O161" s="2">
        <v>44613.583333333336</v>
      </c>
      <c r="P161" s="2">
        <v>44613.625</v>
      </c>
      <c r="Q161" s="2">
        <v>44613.208333333336</v>
      </c>
      <c r="R161" s="2">
        <v>44613.25</v>
      </c>
      <c r="S161" s="0">
        <v>60</v>
      </c>
      <c r="T161" s="0">
        <v>12</v>
      </c>
      <c r="U161" s="0">
        <v>39</v>
      </c>
      <c r="V161" s="0">
        <v>1947</v>
      </c>
      <c r="W161" s="1">
        <f>=HYPERLINK("10.175.1.14\MWEB.12\SEP\EntityDetails.10.175.1.14.MWEB.12.-online-cont.1947.xlsx", "&lt;Detail&gt;")</f>
      </c>
      <c r="X161" s="1">
        <f>=HYPERLINK("10.175.1.14\MWEB.12\SEP\MetricGraphs.SEP.10.175.1.14.MWEB.12.xlsx", "&lt;Metrics&gt;")</f>
      </c>
      <c r="Y161" s="0" t="s">
        <v>107</v>
      </c>
      <c r="Z161" s="0" t="s">
        <v>108</v>
      </c>
      <c r="AA161" s="0" t="s">
        <v>128</v>
      </c>
      <c r="AB161" s="0" t="s">
        <v>786</v>
      </c>
      <c r="AC161" s="0" t="s">
        <v>109</v>
      </c>
    </row>
    <row r="162">
      <c r="A162" s="0" t="s">
        <v>28</v>
      </c>
      <c r="B162" s="0" t="s">
        <v>30</v>
      </c>
      <c r="C162" s="0" t="s">
        <v>127</v>
      </c>
      <c r="D162" s="0" t="s">
        <v>498</v>
      </c>
      <c r="E162" s="0" t="s">
        <v>229</v>
      </c>
      <c r="F162" s="0">
        <v>0</v>
      </c>
      <c r="G162" s="0" t="s">
        <v>106</v>
      </c>
      <c r="H162" s="0">
        <v>0</v>
      </c>
      <c r="I162" s="0">
        <v>0</v>
      </c>
      <c r="J162" s="0">
        <v>0</v>
      </c>
      <c r="K162" s="0">
        <v>0</v>
      </c>
      <c r="L162" s="0">
        <v>0</v>
      </c>
      <c r="M162" s="0">
        <v>0</v>
      </c>
      <c r="N162" s="0" t="b">
        <v>0</v>
      </c>
      <c r="O162" s="2">
        <v>44613.583333333336</v>
      </c>
      <c r="P162" s="2">
        <v>44613.625</v>
      </c>
      <c r="Q162" s="2">
        <v>44613.208333333336</v>
      </c>
      <c r="R162" s="2">
        <v>44613.25</v>
      </c>
      <c r="S162" s="0">
        <v>60</v>
      </c>
      <c r="T162" s="0">
        <v>12</v>
      </c>
      <c r="U162" s="0">
        <v>39</v>
      </c>
      <c r="V162" s="0">
        <v>111</v>
      </c>
      <c r="W162" s="1">
        <f>=HYPERLINK("10.175.1.14\MWEB.12\SEP\EntityDetails.10.175.1.14.MWEB.12.-online-entr.111.xlsx", "&lt;Detail&gt;")</f>
      </c>
      <c r="X162" s="1">
        <f>=HYPERLINK("10.175.1.14\MWEB.12\SEP\MetricGraphs.SEP.10.175.1.14.MWEB.12.xlsx", "&lt;Metrics&gt;")</f>
      </c>
      <c r="Y162" s="0" t="s">
        <v>107</v>
      </c>
      <c r="Z162" s="0" t="s">
        <v>108</v>
      </c>
      <c r="AA162" s="0" t="s">
        <v>128</v>
      </c>
      <c r="AB162" s="0" t="s">
        <v>787</v>
      </c>
      <c r="AC162" s="0" t="s">
        <v>109</v>
      </c>
    </row>
    <row r="163">
      <c r="A163" s="0" t="s">
        <v>28</v>
      </c>
      <c r="B163" s="0" t="s">
        <v>30</v>
      </c>
      <c r="C163" s="0" t="s">
        <v>127</v>
      </c>
      <c r="D163" s="0" t="s">
        <v>500</v>
      </c>
      <c r="E163" s="0" t="s">
        <v>229</v>
      </c>
      <c r="F163" s="0">
        <v>0</v>
      </c>
      <c r="G163" s="0" t="s">
        <v>106</v>
      </c>
      <c r="H163" s="0">
        <v>0</v>
      </c>
      <c r="I163" s="0">
        <v>0</v>
      </c>
      <c r="J163" s="0">
        <v>0</v>
      </c>
      <c r="K163" s="0">
        <v>0</v>
      </c>
      <c r="L163" s="0">
        <v>0</v>
      </c>
      <c r="M163" s="0">
        <v>0</v>
      </c>
      <c r="N163" s="0" t="b">
        <v>0</v>
      </c>
      <c r="O163" s="2">
        <v>44613.583333333336</v>
      </c>
      <c r="P163" s="2">
        <v>44613.625</v>
      </c>
      <c r="Q163" s="2">
        <v>44613.208333333336</v>
      </c>
      <c r="R163" s="2">
        <v>44613.25</v>
      </c>
      <c r="S163" s="0">
        <v>60</v>
      </c>
      <c r="T163" s="0">
        <v>12</v>
      </c>
      <c r="U163" s="0">
        <v>39</v>
      </c>
      <c r="V163" s="0">
        <v>121</v>
      </c>
      <c r="W163" s="1">
        <f>=HYPERLINK("10.175.1.14\MWEB.12\SEP\EntityDetails.10.175.1.14.MWEB.12.-online-erro.121.xlsx", "&lt;Detail&gt;")</f>
      </c>
      <c r="X163" s="1">
        <f>=HYPERLINK("10.175.1.14\MWEB.12\SEP\MetricGraphs.SEP.10.175.1.14.MWEB.12.xlsx", "&lt;Metrics&gt;")</f>
      </c>
      <c r="Y163" s="0" t="s">
        <v>107</v>
      </c>
      <c r="Z163" s="0" t="s">
        <v>108</v>
      </c>
      <c r="AA163" s="0" t="s">
        <v>128</v>
      </c>
      <c r="AB163" s="0" t="s">
        <v>788</v>
      </c>
      <c r="AC163" s="0" t="s">
        <v>109</v>
      </c>
    </row>
    <row r="164">
      <c r="A164" s="0" t="s">
        <v>28</v>
      </c>
      <c r="B164" s="0" t="s">
        <v>30</v>
      </c>
      <c r="C164" s="0" t="s">
        <v>127</v>
      </c>
      <c r="D164" s="0" t="s">
        <v>502</v>
      </c>
      <c r="E164" s="0" t="s">
        <v>229</v>
      </c>
      <c r="F164" s="0">
        <v>0</v>
      </c>
      <c r="G164" s="0" t="s">
        <v>106</v>
      </c>
      <c r="H164" s="0">
        <v>0</v>
      </c>
      <c r="I164" s="0">
        <v>0</v>
      </c>
      <c r="J164" s="0">
        <v>0</v>
      </c>
      <c r="K164" s="0">
        <v>0</v>
      </c>
      <c r="L164" s="0">
        <v>0</v>
      </c>
      <c r="M164" s="0">
        <v>0</v>
      </c>
      <c r="N164" s="0" t="b">
        <v>0</v>
      </c>
      <c r="O164" s="2">
        <v>44613.583333333336</v>
      </c>
      <c r="P164" s="2">
        <v>44613.625</v>
      </c>
      <c r="Q164" s="2">
        <v>44613.208333333336</v>
      </c>
      <c r="R164" s="2">
        <v>44613.25</v>
      </c>
      <c r="S164" s="0">
        <v>60</v>
      </c>
      <c r="T164" s="0">
        <v>12</v>
      </c>
      <c r="U164" s="0">
        <v>39</v>
      </c>
      <c r="V164" s="0">
        <v>92</v>
      </c>
      <c r="W164" s="1">
        <f>=HYPERLINK("10.175.1.14\MWEB.12\SEP\EntityDetails.10.175.1.14.MWEB.12.-online-inqu.92.xlsx", "&lt;Detail&gt;")</f>
      </c>
      <c r="X164" s="1">
        <f>=HYPERLINK("10.175.1.14\MWEB.12\SEP\MetricGraphs.SEP.10.175.1.14.MWEB.12.xlsx", "&lt;Metrics&gt;")</f>
      </c>
      <c r="Y164" s="0" t="s">
        <v>107</v>
      </c>
      <c r="Z164" s="0" t="s">
        <v>108</v>
      </c>
      <c r="AA164" s="0" t="s">
        <v>128</v>
      </c>
      <c r="AB164" s="0" t="s">
        <v>789</v>
      </c>
      <c r="AC164" s="0" t="s">
        <v>109</v>
      </c>
    </row>
    <row r="165">
      <c r="A165" s="0" t="s">
        <v>28</v>
      </c>
      <c r="B165" s="0" t="s">
        <v>30</v>
      </c>
      <c r="C165" s="0" t="s">
        <v>127</v>
      </c>
      <c r="D165" s="0" t="s">
        <v>790</v>
      </c>
      <c r="E165" s="0" t="s">
        <v>229</v>
      </c>
      <c r="F165" s="0">
        <v>0</v>
      </c>
      <c r="G165" s="0" t="s">
        <v>106</v>
      </c>
      <c r="H165" s="0">
        <v>0</v>
      </c>
      <c r="I165" s="0">
        <v>0</v>
      </c>
      <c r="J165" s="0">
        <v>0</v>
      </c>
      <c r="K165" s="0">
        <v>0</v>
      </c>
      <c r="L165" s="0">
        <v>0</v>
      </c>
      <c r="M165" s="0">
        <v>0</v>
      </c>
      <c r="N165" s="0" t="b">
        <v>0</v>
      </c>
      <c r="O165" s="2">
        <v>44613.583333333336</v>
      </c>
      <c r="P165" s="2">
        <v>44613.625</v>
      </c>
      <c r="Q165" s="2">
        <v>44613.208333333336</v>
      </c>
      <c r="R165" s="2">
        <v>44613.25</v>
      </c>
      <c r="S165" s="0">
        <v>60</v>
      </c>
      <c r="T165" s="0">
        <v>12</v>
      </c>
      <c r="U165" s="0">
        <v>39</v>
      </c>
      <c r="V165" s="0">
        <v>1948</v>
      </c>
      <c r="W165" s="1">
        <f>=HYPERLINK("10.175.1.14\MWEB.12\SEP\EntityDetails.10.175.1.14.MWEB.12.-online-seam.1948.xlsx", "&lt;Detail&gt;")</f>
      </c>
      <c r="X165" s="1">
        <f>=HYPERLINK("10.175.1.14\MWEB.12\SEP\MetricGraphs.SEP.10.175.1.14.MWEB.12.xlsx", "&lt;Metrics&gt;")</f>
      </c>
      <c r="Y165" s="0" t="s">
        <v>107</v>
      </c>
      <c r="Z165" s="0" t="s">
        <v>108</v>
      </c>
      <c r="AA165" s="0" t="s">
        <v>128</v>
      </c>
      <c r="AB165" s="0" t="s">
        <v>791</v>
      </c>
      <c r="AC165" s="0" t="s">
        <v>109</v>
      </c>
    </row>
    <row r="166">
      <c r="A166" s="0" t="s">
        <v>28</v>
      </c>
      <c r="B166" s="0" t="s">
        <v>30</v>
      </c>
      <c r="C166" s="0" t="s">
        <v>127</v>
      </c>
      <c r="D166" s="0" t="s">
        <v>504</v>
      </c>
      <c r="E166" s="0" t="s">
        <v>229</v>
      </c>
      <c r="F166" s="0">
        <v>0</v>
      </c>
      <c r="G166" s="0" t="s">
        <v>106</v>
      </c>
      <c r="H166" s="0">
        <v>0</v>
      </c>
      <c r="I166" s="0">
        <v>0</v>
      </c>
      <c r="J166" s="0">
        <v>0</v>
      </c>
      <c r="K166" s="0">
        <v>0</v>
      </c>
      <c r="L166" s="0">
        <v>0</v>
      </c>
      <c r="M166" s="0">
        <v>0</v>
      </c>
      <c r="N166" s="0" t="b">
        <v>0</v>
      </c>
      <c r="O166" s="2">
        <v>44613.583333333336</v>
      </c>
      <c r="P166" s="2">
        <v>44613.625</v>
      </c>
      <c r="Q166" s="2">
        <v>44613.208333333336</v>
      </c>
      <c r="R166" s="2">
        <v>44613.25</v>
      </c>
      <c r="S166" s="0">
        <v>60</v>
      </c>
      <c r="T166" s="0">
        <v>12</v>
      </c>
      <c r="U166" s="0">
        <v>39</v>
      </c>
      <c r="V166" s="0">
        <v>221</v>
      </c>
      <c r="W166" s="1">
        <f>=HYPERLINK("10.175.1.14\MWEB.12\SEP\EntityDetails.10.175.1.14.MWEB.12.-online-test.221.xlsx", "&lt;Detail&gt;")</f>
      </c>
      <c r="X166" s="1">
        <f>=HYPERLINK("10.175.1.14\MWEB.12\SEP\MetricGraphs.SEP.10.175.1.14.MWEB.12.xlsx", "&lt;Metrics&gt;")</f>
      </c>
      <c r="Y166" s="0" t="s">
        <v>107</v>
      </c>
      <c r="Z166" s="0" t="s">
        <v>108</v>
      </c>
      <c r="AA166" s="0" t="s">
        <v>128</v>
      </c>
      <c r="AB166" s="0" t="s">
        <v>792</v>
      </c>
      <c r="AC166" s="0" t="s">
        <v>109</v>
      </c>
    </row>
    <row r="167">
      <c r="A167" s="0" t="s">
        <v>28</v>
      </c>
      <c r="B167" s="0" t="s">
        <v>30</v>
      </c>
      <c r="C167" s="0" t="s">
        <v>127</v>
      </c>
      <c r="D167" s="0" t="s">
        <v>793</v>
      </c>
      <c r="E167" s="0" t="s">
        <v>229</v>
      </c>
      <c r="F167" s="0">
        <v>0</v>
      </c>
      <c r="G167" s="0" t="s">
        <v>106</v>
      </c>
      <c r="H167" s="0">
        <v>0</v>
      </c>
      <c r="I167" s="0">
        <v>0</v>
      </c>
      <c r="J167" s="0">
        <v>0</v>
      </c>
      <c r="K167" s="0">
        <v>0</v>
      </c>
      <c r="L167" s="0">
        <v>0</v>
      </c>
      <c r="M167" s="0">
        <v>0</v>
      </c>
      <c r="N167" s="0" t="b">
        <v>0</v>
      </c>
      <c r="O167" s="2">
        <v>44613.583333333336</v>
      </c>
      <c r="P167" s="2">
        <v>44613.625</v>
      </c>
      <c r="Q167" s="2">
        <v>44613.208333333336</v>
      </c>
      <c r="R167" s="2">
        <v>44613.25</v>
      </c>
      <c r="S167" s="0">
        <v>60</v>
      </c>
      <c r="T167" s="0">
        <v>12</v>
      </c>
      <c r="U167" s="0">
        <v>39</v>
      </c>
      <c r="V167" s="0">
        <v>93</v>
      </c>
      <c r="W167" s="1">
        <f>=HYPERLINK("10.175.1.14\MWEB.12\SEP\EntityDetails.10.175.1.14.MWEB.12.-online-WEB-.93.xlsx", "&lt;Detail&gt;")</f>
      </c>
      <c r="X167" s="1">
        <f>=HYPERLINK("10.175.1.14\MWEB.12\SEP\MetricGraphs.SEP.10.175.1.14.MWEB.12.xlsx", "&lt;Metrics&gt;")</f>
      </c>
      <c r="Y167" s="0" t="s">
        <v>107</v>
      </c>
      <c r="Z167" s="0" t="s">
        <v>108</v>
      </c>
      <c r="AA167" s="0" t="s">
        <v>128</v>
      </c>
      <c r="AB167" s="0" t="s">
        <v>794</v>
      </c>
      <c r="AC167" s="0" t="s">
        <v>109</v>
      </c>
    </row>
    <row r="168">
      <c r="A168" s="0" t="s">
        <v>28</v>
      </c>
      <c r="B168" s="0" t="s">
        <v>30</v>
      </c>
      <c r="C168" s="0" t="s">
        <v>149</v>
      </c>
      <c r="D168" s="0" t="s">
        <v>793</v>
      </c>
      <c r="E168" s="0" t="s">
        <v>229</v>
      </c>
      <c r="F168" s="0">
        <v>0</v>
      </c>
      <c r="G168" s="0" t="s">
        <v>106</v>
      </c>
      <c r="H168" s="0">
        <v>0</v>
      </c>
      <c r="I168" s="0">
        <v>0</v>
      </c>
      <c r="J168" s="0">
        <v>0</v>
      </c>
      <c r="K168" s="0">
        <v>0</v>
      </c>
      <c r="L168" s="0">
        <v>0</v>
      </c>
      <c r="M168" s="0">
        <v>0</v>
      </c>
      <c r="N168" s="0" t="b">
        <v>0</v>
      </c>
      <c r="O168" s="2">
        <v>44613.583333333336</v>
      </c>
      <c r="P168" s="2">
        <v>44613.625</v>
      </c>
      <c r="Q168" s="2">
        <v>44613.208333333336</v>
      </c>
      <c r="R168" s="2">
        <v>44613.25</v>
      </c>
      <c r="S168" s="0">
        <v>60</v>
      </c>
      <c r="T168" s="0">
        <v>12</v>
      </c>
      <c r="U168" s="0">
        <v>50</v>
      </c>
      <c r="V168" s="0">
        <v>2270</v>
      </c>
      <c r="W168" s="1">
        <f>=HYPERLINK("10.175.1.14\MWEB.12\SEP\EntityDetails.10.175.1.14.MWEB.12.-online-WEB-.2270.xlsx", "&lt;Detail&gt;")</f>
      </c>
      <c r="X168" s="1">
        <f>=HYPERLINK("10.175.1.14\MWEB.12\SEP\MetricGraphs.SEP.10.175.1.14.MWEB.12.xlsx", "&lt;Metrics&gt;")</f>
      </c>
      <c r="Y168" s="0" t="s">
        <v>107</v>
      </c>
      <c r="Z168" s="0" t="s">
        <v>108</v>
      </c>
      <c r="AA168" s="0" t="s">
        <v>150</v>
      </c>
      <c r="AB168" s="0" t="s">
        <v>795</v>
      </c>
      <c r="AC168" s="0" t="s">
        <v>109</v>
      </c>
    </row>
    <row r="169">
      <c r="A169" s="0" t="s">
        <v>28</v>
      </c>
      <c r="B169" s="0" t="s">
        <v>30</v>
      </c>
      <c r="C169" s="0" t="s">
        <v>133</v>
      </c>
      <c r="D169" s="0" t="s">
        <v>506</v>
      </c>
      <c r="E169" s="0" t="s">
        <v>229</v>
      </c>
      <c r="F169" s="0">
        <v>0</v>
      </c>
      <c r="G169" s="0" t="s">
        <v>106</v>
      </c>
      <c r="H169" s="0">
        <v>0</v>
      </c>
      <c r="I169" s="0">
        <v>0</v>
      </c>
      <c r="J169" s="0">
        <v>0</v>
      </c>
      <c r="K169" s="0">
        <v>0</v>
      </c>
      <c r="L169" s="0">
        <v>0</v>
      </c>
      <c r="M169" s="0">
        <v>0</v>
      </c>
      <c r="N169" s="0" t="b">
        <v>0</v>
      </c>
      <c r="O169" s="2">
        <v>44613.583333333336</v>
      </c>
      <c r="P169" s="2">
        <v>44613.625</v>
      </c>
      <c r="Q169" s="2">
        <v>44613.208333333336</v>
      </c>
      <c r="R169" s="2">
        <v>44613.25</v>
      </c>
      <c r="S169" s="0">
        <v>60</v>
      </c>
      <c r="T169" s="0">
        <v>12</v>
      </c>
      <c r="U169" s="0">
        <v>36</v>
      </c>
      <c r="V169" s="0">
        <v>659</v>
      </c>
      <c r="W169" s="1">
        <f>=HYPERLINK("10.175.1.14\MWEB.12\SEP\EntityDetails.10.175.1.14.MWEB.12.-remote-arti.659.xlsx", "&lt;Detail&gt;")</f>
      </c>
      <c r="X169" s="1">
        <f>=HYPERLINK("10.175.1.14\MWEB.12\SEP\MetricGraphs.SEP.10.175.1.14.MWEB.12.xlsx", "&lt;Metrics&gt;")</f>
      </c>
      <c r="Y169" s="0" t="s">
        <v>107</v>
      </c>
      <c r="Z169" s="0" t="s">
        <v>108</v>
      </c>
      <c r="AA169" s="0" t="s">
        <v>134</v>
      </c>
      <c r="AB169" s="0" t="s">
        <v>796</v>
      </c>
      <c r="AC169" s="0" t="s">
        <v>109</v>
      </c>
    </row>
    <row r="170">
      <c r="A170" s="0" t="s">
        <v>28</v>
      </c>
      <c r="B170" s="0" t="s">
        <v>30</v>
      </c>
      <c r="C170" s="0" t="s">
        <v>133</v>
      </c>
      <c r="D170" s="0" t="s">
        <v>508</v>
      </c>
      <c r="E170" s="0" t="s">
        <v>229</v>
      </c>
      <c r="F170" s="0">
        <v>0</v>
      </c>
      <c r="G170" s="0" t="s">
        <v>106</v>
      </c>
      <c r="H170" s="0">
        <v>0</v>
      </c>
      <c r="I170" s="0">
        <v>0</v>
      </c>
      <c r="J170" s="0">
        <v>0</v>
      </c>
      <c r="K170" s="0">
        <v>0</v>
      </c>
      <c r="L170" s="0">
        <v>0</v>
      </c>
      <c r="M170" s="0">
        <v>0</v>
      </c>
      <c r="N170" s="0" t="b">
        <v>0</v>
      </c>
      <c r="O170" s="2">
        <v>44613.583333333336</v>
      </c>
      <c r="P170" s="2">
        <v>44613.625</v>
      </c>
      <c r="Q170" s="2">
        <v>44613.208333333336</v>
      </c>
      <c r="R170" s="2">
        <v>44613.25</v>
      </c>
      <c r="S170" s="0">
        <v>60</v>
      </c>
      <c r="T170" s="0">
        <v>12</v>
      </c>
      <c r="U170" s="0">
        <v>36</v>
      </c>
      <c r="V170" s="0">
        <v>669</v>
      </c>
      <c r="W170" s="1">
        <f>=HYPERLINK("10.175.1.14\MWEB.12\SEP\EntityDetails.10.175.1.14.MWEB.12.-remote-arti.669.xlsx", "&lt;Detail&gt;")</f>
      </c>
      <c r="X170" s="1">
        <f>=HYPERLINK("10.175.1.14\MWEB.12\SEP\MetricGraphs.SEP.10.175.1.14.MWEB.12.xlsx", "&lt;Metrics&gt;")</f>
      </c>
      <c r="Y170" s="0" t="s">
        <v>107</v>
      </c>
      <c r="Z170" s="0" t="s">
        <v>108</v>
      </c>
      <c r="AA170" s="0" t="s">
        <v>134</v>
      </c>
      <c r="AB170" s="0" t="s">
        <v>797</v>
      </c>
      <c r="AC170" s="0" t="s">
        <v>109</v>
      </c>
    </row>
    <row r="171">
      <c r="A171" s="0" t="s">
        <v>28</v>
      </c>
      <c r="B171" s="0" t="s">
        <v>30</v>
      </c>
      <c r="C171" s="0" t="s">
        <v>133</v>
      </c>
      <c r="D171" s="0" t="s">
        <v>510</v>
      </c>
      <c r="E171" s="0" t="s">
        <v>229</v>
      </c>
      <c r="F171" s="0">
        <v>0</v>
      </c>
      <c r="G171" s="0" t="s">
        <v>106</v>
      </c>
      <c r="H171" s="0">
        <v>0</v>
      </c>
      <c r="I171" s="0">
        <v>0</v>
      </c>
      <c r="J171" s="0">
        <v>0</v>
      </c>
      <c r="K171" s="0">
        <v>0</v>
      </c>
      <c r="L171" s="0">
        <v>0</v>
      </c>
      <c r="M171" s="0">
        <v>0</v>
      </c>
      <c r="N171" s="0" t="b">
        <v>0</v>
      </c>
      <c r="O171" s="2">
        <v>44613.583333333336</v>
      </c>
      <c r="P171" s="2">
        <v>44613.625</v>
      </c>
      <c r="Q171" s="2">
        <v>44613.208333333336</v>
      </c>
      <c r="R171" s="2">
        <v>44613.25</v>
      </c>
      <c r="S171" s="0">
        <v>60</v>
      </c>
      <c r="T171" s="0">
        <v>12</v>
      </c>
      <c r="U171" s="0">
        <v>36</v>
      </c>
      <c r="V171" s="0">
        <v>668</v>
      </c>
      <c r="W171" s="1">
        <f>=HYPERLINK("10.175.1.14\MWEB.12\SEP\EntityDetails.10.175.1.14.MWEB.12.-remote-back.668.xlsx", "&lt;Detail&gt;")</f>
      </c>
      <c r="X171" s="1">
        <f>=HYPERLINK("10.175.1.14\MWEB.12\SEP\MetricGraphs.SEP.10.175.1.14.MWEB.12.xlsx", "&lt;Metrics&gt;")</f>
      </c>
      <c r="Y171" s="0" t="s">
        <v>107</v>
      </c>
      <c r="Z171" s="0" t="s">
        <v>108</v>
      </c>
      <c r="AA171" s="0" t="s">
        <v>134</v>
      </c>
      <c r="AB171" s="0" t="s">
        <v>798</v>
      </c>
      <c r="AC171" s="0" t="s">
        <v>109</v>
      </c>
    </row>
    <row r="172">
      <c r="A172" s="0" t="s">
        <v>28</v>
      </c>
      <c r="B172" s="0" t="s">
        <v>30</v>
      </c>
      <c r="C172" s="0" t="s">
        <v>133</v>
      </c>
      <c r="D172" s="0" t="s">
        <v>512</v>
      </c>
      <c r="E172" s="0" t="s">
        <v>229</v>
      </c>
      <c r="F172" s="0">
        <v>0</v>
      </c>
      <c r="G172" s="0" t="s">
        <v>106</v>
      </c>
      <c r="H172" s="0">
        <v>0</v>
      </c>
      <c r="I172" s="0">
        <v>0</v>
      </c>
      <c r="J172" s="0">
        <v>0</v>
      </c>
      <c r="K172" s="0">
        <v>0</v>
      </c>
      <c r="L172" s="0">
        <v>0</v>
      </c>
      <c r="M172" s="0">
        <v>0</v>
      </c>
      <c r="N172" s="0" t="b">
        <v>0</v>
      </c>
      <c r="O172" s="2">
        <v>44613.583333333336</v>
      </c>
      <c r="P172" s="2">
        <v>44613.625</v>
      </c>
      <c r="Q172" s="2">
        <v>44613.208333333336</v>
      </c>
      <c r="R172" s="2">
        <v>44613.25</v>
      </c>
      <c r="S172" s="0">
        <v>60</v>
      </c>
      <c r="T172" s="0">
        <v>12</v>
      </c>
      <c r="U172" s="0">
        <v>36</v>
      </c>
      <c r="V172" s="0">
        <v>671</v>
      </c>
      <c r="W172" s="1">
        <f>=HYPERLINK("10.175.1.14\MWEB.12\SEP\EntityDetails.10.175.1.14.MWEB.12.-remote-down.671.xlsx", "&lt;Detail&gt;")</f>
      </c>
      <c r="X172" s="1">
        <f>=HYPERLINK("10.175.1.14\MWEB.12\SEP\MetricGraphs.SEP.10.175.1.14.MWEB.12.xlsx", "&lt;Metrics&gt;")</f>
      </c>
      <c r="Y172" s="0" t="s">
        <v>107</v>
      </c>
      <c r="Z172" s="0" t="s">
        <v>108</v>
      </c>
      <c r="AA172" s="0" t="s">
        <v>134</v>
      </c>
      <c r="AB172" s="0" t="s">
        <v>799</v>
      </c>
      <c r="AC172" s="0" t="s">
        <v>109</v>
      </c>
    </row>
    <row r="173">
      <c r="A173" s="0" t="s">
        <v>28</v>
      </c>
      <c r="B173" s="0" t="s">
        <v>30</v>
      </c>
      <c r="C173" s="0" t="s">
        <v>133</v>
      </c>
      <c r="D173" s="0" t="s">
        <v>514</v>
      </c>
      <c r="E173" s="0" t="s">
        <v>229</v>
      </c>
      <c r="F173" s="0">
        <v>0</v>
      </c>
      <c r="G173" s="0" t="s">
        <v>106</v>
      </c>
      <c r="H173" s="0">
        <v>0</v>
      </c>
      <c r="I173" s="0">
        <v>0</v>
      </c>
      <c r="J173" s="0">
        <v>0</v>
      </c>
      <c r="K173" s="0">
        <v>0</v>
      </c>
      <c r="L173" s="0">
        <v>0</v>
      </c>
      <c r="M173" s="0">
        <v>0</v>
      </c>
      <c r="N173" s="0" t="b">
        <v>0</v>
      </c>
      <c r="O173" s="2">
        <v>44613.583333333336</v>
      </c>
      <c r="P173" s="2">
        <v>44613.625</v>
      </c>
      <c r="Q173" s="2">
        <v>44613.208333333336</v>
      </c>
      <c r="R173" s="2">
        <v>44613.25</v>
      </c>
      <c r="S173" s="0">
        <v>60</v>
      </c>
      <c r="T173" s="0">
        <v>12</v>
      </c>
      <c r="U173" s="0">
        <v>36</v>
      </c>
      <c r="V173" s="0">
        <v>678</v>
      </c>
      <c r="W173" s="1">
        <f>=HYPERLINK("10.175.1.14\MWEB.12\SEP\EntityDetails.10.175.1.14.MWEB.12.-remote-erro.678.xlsx", "&lt;Detail&gt;")</f>
      </c>
      <c r="X173" s="1">
        <f>=HYPERLINK("10.175.1.14\MWEB.12\SEP\MetricGraphs.SEP.10.175.1.14.MWEB.12.xlsx", "&lt;Metrics&gt;")</f>
      </c>
      <c r="Y173" s="0" t="s">
        <v>107</v>
      </c>
      <c r="Z173" s="0" t="s">
        <v>108</v>
      </c>
      <c r="AA173" s="0" t="s">
        <v>134</v>
      </c>
      <c r="AB173" s="0" t="s">
        <v>800</v>
      </c>
      <c r="AC173" s="0" t="s">
        <v>109</v>
      </c>
    </row>
    <row r="174">
      <c r="A174" s="0" t="s">
        <v>28</v>
      </c>
      <c r="B174" s="0" t="s">
        <v>30</v>
      </c>
      <c r="C174" s="0" t="s">
        <v>133</v>
      </c>
      <c r="D174" s="0" t="s">
        <v>516</v>
      </c>
      <c r="E174" s="0" t="s">
        <v>229</v>
      </c>
      <c r="F174" s="0">
        <v>0</v>
      </c>
      <c r="G174" s="0" t="s">
        <v>106</v>
      </c>
      <c r="H174" s="0">
        <v>0</v>
      </c>
      <c r="I174" s="0">
        <v>0</v>
      </c>
      <c r="J174" s="0">
        <v>0</v>
      </c>
      <c r="K174" s="0">
        <v>0</v>
      </c>
      <c r="L174" s="0">
        <v>0</v>
      </c>
      <c r="M174" s="0">
        <v>0</v>
      </c>
      <c r="N174" s="0" t="b">
        <v>0</v>
      </c>
      <c r="O174" s="2">
        <v>44613.583333333336</v>
      </c>
      <c r="P174" s="2">
        <v>44613.625</v>
      </c>
      <c r="Q174" s="2">
        <v>44613.208333333336</v>
      </c>
      <c r="R174" s="2">
        <v>44613.25</v>
      </c>
      <c r="S174" s="0">
        <v>60</v>
      </c>
      <c r="T174" s="0">
        <v>12</v>
      </c>
      <c r="U174" s="0">
        <v>36</v>
      </c>
      <c r="V174" s="0">
        <v>676</v>
      </c>
      <c r="W174" s="1">
        <f>=HYPERLINK("10.175.1.14\MWEB.12\SEP\EntityDetails.10.175.1.14.MWEB.12.-remote-erro.676.xlsx", "&lt;Detail&gt;")</f>
      </c>
      <c r="X174" s="1">
        <f>=HYPERLINK("10.175.1.14\MWEB.12\SEP\MetricGraphs.SEP.10.175.1.14.MWEB.12.xlsx", "&lt;Metrics&gt;")</f>
      </c>
      <c r="Y174" s="0" t="s">
        <v>107</v>
      </c>
      <c r="Z174" s="0" t="s">
        <v>108</v>
      </c>
      <c r="AA174" s="0" t="s">
        <v>134</v>
      </c>
      <c r="AB174" s="0" t="s">
        <v>801</v>
      </c>
      <c r="AC174" s="0" t="s">
        <v>109</v>
      </c>
    </row>
    <row r="175">
      <c r="A175" s="0" t="s">
        <v>28</v>
      </c>
      <c r="B175" s="0" t="s">
        <v>30</v>
      </c>
      <c r="C175" s="0" t="s">
        <v>133</v>
      </c>
      <c r="D175" s="0" t="s">
        <v>518</v>
      </c>
      <c r="E175" s="0" t="s">
        <v>229</v>
      </c>
      <c r="F175" s="0">
        <v>0</v>
      </c>
      <c r="G175" s="0" t="s">
        <v>106</v>
      </c>
      <c r="H175" s="0">
        <v>0</v>
      </c>
      <c r="I175" s="0">
        <v>0</v>
      </c>
      <c r="J175" s="0">
        <v>0</v>
      </c>
      <c r="K175" s="0">
        <v>0</v>
      </c>
      <c r="L175" s="0">
        <v>0</v>
      </c>
      <c r="M175" s="0">
        <v>0</v>
      </c>
      <c r="N175" s="0" t="b">
        <v>0</v>
      </c>
      <c r="O175" s="2">
        <v>44613.583333333336</v>
      </c>
      <c r="P175" s="2">
        <v>44613.625</v>
      </c>
      <c r="Q175" s="2">
        <v>44613.208333333336</v>
      </c>
      <c r="R175" s="2">
        <v>44613.25</v>
      </c>
      <c r="S175" s="0">
        <v>60</v>
      </c>
      <c r="T175" s="0">
        <v>12</v>
      </c>
      <c r="U175" s="0">
        <v>36</v>
      </c>
      <c r="V175" s="0">
        <v>677</v>
      </c>
      <c r="W175" s="1">
        <f>=HYPERLINK("10.175.1.14\MWEB.12\SEP\EntityDetails.10.175.1.14.MWEB.12.-remote-erro.677.xlsx", "&lt;Detail&gt;")</f>
      </c>
      <c r="X175" s="1">
        <f>=HYPERLINK("10.175.1.14\MWEB.12\SEP\MetricGraphs.SEP.10.175.1.14.MWEB.12.xlsx", "&lt;Metrics&gt;")</f>
      </c>
      <c r="Y175" s="0" t="s">
        <v>107</v>
      </c>
      <c r="Z175" s="0" t="s">
        <v>108</v>
      </c>
      <c r="AA175" s="0" t="s">
        <v>134</v>
      </c>
      <c r="AB175" s="0" t="s">
        <v>802</v>
      </c>
      <c r="AC175" s="0" t="s">
        <v>109</v>
      </c>
    </row>
    <row r="176">
      <c r="A176" s="0" t="s">
        <v>28</v>
      </c>
      <c r="B176" s="0" t="s">
        <v>30</v>
      </c>
      <c r="C176" s="0" t="s">
        <v>133</v>
      </c>
      <c r="D176" s="0" t="s">
        <v>520</v>
      </c>
      <c r="E176" s="0" t="s">
        <v>229</v>
      </c>
      <c r="F176" s="0">
        <v>0</v>
      </c>
      <c r="G176" s="0" t="s">
        <v>106</v>
      </c>
      <c r="H176" s="0">
        <v>0</v>
      </c>
      <c r="I176" s="0">
        <v>0</v>
      </c>
      <c r="J176" s="0">
        <v>0</v>
      </c>
      <c r="K176" s="0">
        <v>0</v>
      </c>
      <c r="L176" s="0">
        <v>0</v>
      </c>
      <c r="M176" s="0">
        <v>0</v>
      </c>
      <c r="N176" s="0" t="b">
        <v>0</v>
      </c>
      <c r="O176" s="2">
        <v>44613.583333333336</v>
      </c>
      <c r="P176" s="2">
        <v>44613.625</v>
      </c>
      <c r="Q176" s="2">
        <v>44613.208333333336</v>
      </c>
      <c r="R176" s="2">
        <v>44613.25</v>
      </c>
      <c r="S176" s="0">
        <v>60</v>
      </c>
      <c r="T176" s="0">
        <v>12</v>
      </c>
      <c r="U176" s="0">
        <v>36</v>
      </c>
      <c r="V176" s="0">
        <v>479</v>
      </c>
      <c r="W176" s="1">
        <f>=HYPERLINK("10.175.1.14\MWEB.12\SEP\EntityDetails.10.175.1.14.MWEB.12.-remote-stat.479.xlsx", "&lt;Detail&gt;")</f>
      </c>
      <c r="X176" s="1">
        <f>=HYPERLINK("10.175.1.14\MWEB.12\SEP\MetricGraphs.SEP.10.175.1.14.MWEB.12.xlsx", "&lt;Metrics&gt;")</f>
      </c>
      <c r="Y176" s="0" t="s">
        <v>107</v>
      </c>
      <c r="Z176" s="0" t="s">
        <v>108</v>
      </c>
      <c r="AA176" s="0" t="s">
        <v>134</v>
      </c>
      <c r="AB176" s="0" t="s">
        <v>803</v>
      </c>
      <c r="AC176" s="0" t="s">
        <v>109</v>
      </c>
    </row>
    <row r="177">
      <c r="A177" s="0" t="s">
        <v>28</v>
      </c>
      <c r="B177" s="0" t="s">
        <v>30</v>
      </c>
      <c r="C177" s="0" t="s">
        <v>133</v>
      </c>
      <c r="D177" s="0" t="s">
        <v>522</v>
      </c>
      <c r="E177" s="0" t="s">
        <v>229</v>
      </c>
      <c r="F177" s="0">
        <v>0</v>
      </c>
      <c r="G177" s="0" t="s">
        <v>106</v>
      </c>
      <c r="H177" s="0">
        <v>0</v>
      </c>
      <c r="I177" s="0">
        <v>0</v>
      </c>
      <c r="J177" s="0">
        <v>0</v>
      </c>
      <c r="K177" s="0">
        <v>0</v>
      </c>
      <c r="L177" s="0">
        <v>0</v>
      </c>
      <c r="M177" s="0">
        <v>0</v>
      </c>
      <c r="N177" s="0" t="b">
        <v>0</v>
      </c>
      <c r="O177" s="2">
        <v>44613.583333333336</v>
      </c>
      <c r="P177" s="2">
        <v>44613.625</v>
      </c>
      <c r="Q177" s="2">
        <v>44613.208333333336</v>
      </c>
      <c r="R177" s="2">
        <v>44613.25</v>
      </c>
      <c r="S177" s="0">
        <v>60</v>
      </c>
      <c r="T177" s="0">
        <v>12</v>
      </c>
      <c r="U177" s="0">
        <v>36</v>
      </c>
      <c r="V177" s="0">
        <v>672</v>
      </c>
      <c r="W177" s="1">
        <f>=HYPERLINK("10.175.1.14\MWEB.12\SEP\EntityDetails.10.175.1.14.MWEB.12.-remote-uplo.672.xlsx", "&lt;Detail&gt;")</f>
      </c>
      <c r="X177" s="1">
        <f>=HYPERLINK("10.175.1.14\MWEB.12\SEP\MetricGraphs.SEP.10.175.1.14.MWEB.12.xlsx", "&lt;Metrics&gt;")</f>
      </c>
      <c r="Y177" s="0" t="s">
        <v>107</v>
      </c>
      <c r="Z177" s="0" t="s">
        <v>108</v>
      </c>
      <c r="AA177" s="0" t="s">
        <v>134</v>
      </c>
      <c r="AB177" s="0" t="s">
        <v>804</v>
      </c>
      <c r="AC177" s="0" t="s">
        <v>109</v>
      </c>
    </row>
    <row r="178">
      <c r="A178" s="0" t="s">
        <v>28</v>
      </c>
      <c r="B178" s="0" t="s">
        <v>30</v>
      </c>
      <c r="C178" s="0" t="s">
        <v>125</v>
      </c>
      <c r="D178" s="0" t="s">
        <v>805</v>
      </c>
      <c r="E178" s="0" t="s">
        <v>229</v>
      </c>
      <c r="F178" s="0">
        <v>0</v>
      </c>
      <c r="G178" s="0" t="s">
        <v>106</v>
      </c>
      <c r="H178" s="0">
        <v>0</v>
      </c>
      <c r="I178" s="0">
        <v>0</v>
      </c>
      <c r="J178" s="0">
        <v>0</v>
      </c>
      <c r="K178" s="0">
        <v>0</v>
      </c>
      <c r="L178" s="0">
        <v>0</v>
      </c>
      <c r="M178" s="0">
        <v>0</v>
      </c>
      <c r="N178" s="0" t="b">
        <v>0</v>
      </c>
      <c r="O178" s="2">
        <v>44613.583333333336</v>
      </c>
      <c r="P178" s="2">
        <v>44613.625</v>
      </c>
      <c r="Q178" s="2">
        <v>44613.208333333336</v>
      </c>
      <c r="R178" s="2">
        <v>44613.25</v>
      </c>
      <c r="S178" s="0">
        <v>60</v>
      </c>
      <c r="T178" s="0">
        <v>12</v>
      </c>
      <c r="U178" s="0">
        <v>42</v>
      </c>
      <c r="V178" s="0">
        <v>1189</v>
      </c>
      <c r="W178" s="1">
        <f>=HYPERLINK("10.175.1.14\MWEB.12\SEP\EntityDetails.10.175.1.14.MWEB.12.-reporter-cl.1189.xlsx", "&lt;Detail&gt;")</f>
      </c>
      <c r="X178" s="1">
        <f>=HYPERLINK("10.175.1.14\MWEB.12\SEP\MetricGraphs.SEP.10.175.1.14.MWEB.12.xlsx", "&lt;Metrics&gt;")</f>
      </c>
      <c r="Y178" s="0" t="s">
        <v>107</v>
      </c>
      <c r="Z178" s="0" t="s">
        <v>108</v>
      </c>
      <c r="AA178" s="0" t="s">
        <v>126</v>
      </c>
      <c r="AB178" s="0" t="s">
        <v>806</v>
      </c>
      <c r="AC178" s="0" t="s">
        <v>109</v>
      </c>
    </row>
    <row r="179">
      <c r="A179" s="0" t="s">
        <v>28</v>
      </c>
      <c r="B179" s="0" t="s">
        <v>30</v>
      </c>
      <c r="C179" s="0" t="s">
        <v>127</v>
      </c>
      <c r="D179" s="0" t="s">
        <v>805</v>
      </c>
      <c r="E179" s="0" t="s">
        <v>229</v>
      </c>
      <c r="F179" s="0">
        <v>0</v>
      </c>
      <c r="G179" s="0" t="s">
        <v>106</v>
      </c>
      <c r="H179" s="0">
        <v>0</v>
      </c>
      <c r="I179" s="0">
        <v>0</v>
      </c>
      <c r="J179" s="0">
        <v>0</v>
      </c>
      <c r="K179" s="0">
        <v>0</v>
      </c>
      <c r="L179" s="0">
        <v>0</v>
      </c>
      <c r="M179" s="0">
        <v>0</v>
      </c>
      <c r="N179" s="0" t="b">
        <v>0</v>
      </c>
      <c r="O179" s="2">
        <v>44613.583333333336</v>
      </c>
      <c r="P179" s="2">
        <v>44613.625</v>
      </c>
      <c r="Q179" s="2">
        <v>44613.208333333336</v>
      </c>
      <c r="R179" s="2">
        <v>44613.25</v>
      </c>
      <c r="S179" s="0">
        <v>60</v>
      </c>
      <c r="T179" s="0">
        <v>12</v>
      </c>
      <c r="U179" s="0">
        <v>39</v>
      </c>
      <c r="V179" s="0">
        <v>1204</v>
      </c>
      <c r="W179" s="1">
        <f>=HYPERLINK("10.175.1.14\MWEB.12\SEP\EntityDetails.10.175.1.14.MWEB.12.-reporter-cl.1204.xlsx", "&lt;Detail&gt;")</f>
      </c>
      <c r="X179" s="1">
        <f>=HYPERLINK("10.175.1.14\MWEB.12\SEP\MetricGraphs.SEP.10.175.1.14.MWEB.12.xlsx", "&lt;Metrics&gt;")</f>
      </c>
      <c r="Y179" s="0" t="s">
        <v>107</v>
      </c>
      <c r="Z179" s="0" t="s">
        <v>108</v>
      </c>
      <c r="AA179" s="0" t="s">
        <v>128</v>
      </c>
      <c r="AB179" s="0" t="s">
        <v>807</v>
      </c>
      <c r="AC179" s="0" t="s">
        <v>109</v>
      </c>
    </row>
    <row r="180">
      <c r="A180" s="0" t="s">
        <v>28</v>
      </c>
      <c r="B180" s="0" t="s">
        <v>30</v>
      </c>
      <c r="C180" s="0" t="s">
        <v>133</v>
      </c>
      <c r="D180" s="0" t="s">
        <v>805</v>
      </c>
      <c r="E180" s="0" t="s">
        <v>229</v>
      </c>
      <c r="F180" s="0">
        <v>0</v>
      </c>
      <c r="G180" s="0" t="s">
        <v>106</v>
      </c>
      <c r="H180" s="0">
        <v>0</v>
      </c>
      <c r="I180" s="0">
        <v>0</v>
      </c>
      <c r="J180" s="0">
        <v>0</v>
      </c>
      <c r="K180" s="0">
        <v>0</v>
      </c>
      <c r="L180" s="0">
        <v>0</v>
      </c>
      <c r="M180" s="0">
        <v>0</v>
      </c>
      <c r="N180" s="0" t="b">
        <v>0</v>
      </c>
      <c r="O180" s="2">
        <v>44613.583333333336</v>
      </c>
      <c r="P180" s="2">
        <v>44613.625</v>
      </c>
      <c r="Q180" s="2">
        <v>44613.208333333336</v>
      </c>
      <c r="R180" s="2">
        <v>44613.25</v>
      </c>
      <c r="S180" s="0">
        <v>60</v>
      </c>
      <c r="T180" s="0">
        <v>12</v>
      </c>
      <c r="U180" s="0">
        <v>36</v>
      </c>
      <c r="V180" s="0">
        <v>1237</v>
      </c>
      <c r="W180" s="1">
        <f>=HYPERLINK("10.175.1.14\MWEB.12\SEP\EntityDetails.10.175.1.14.MWEB.12.-reporter-cl.1237.xlsx", "&lt;Detail&gt;")</f>
      </c>
      <c r="X180" s="1">
        <f>=HYPERLINK("10.175.1.14\MWEB.12\SEP\MetricGraphs.SEP.10.175.1.14.MWEB.12.xlsx", "&lt;Metrics&gt;")</f>
      </c>
      <c r="Y180" s="0" t="s">
        <v>107</v>
      </c>
      <c r="Z180" s="0" t="s">
        <v>108</v>
      </c>
      <c r="AA180" s="0" t="s">
        <v>134</v>
      </c>
      <c r="AB180" s="0" t="s">
        <v>808</v>
      </c>
      <c r="AC180" s="0" t="s">
        <v>109</v>
      </c>
    </row>
    <row r="181">
      <c r="A181" s="0" t="s">
        <v>28</v>
      </c>
      <c r="B181" s="0" t="s">
        <v>30</v>
      </c>
      <c r="C181" s="0" t="s">
        <v>133</v>
      </c>
      <c r="D181" s="0" t="s">
        <v>809</v>
      </c>
      <c r="E181" s="0" t="s">
        <v>229</v>
      </c>
      <c r="F181" s="0">
        <v>0</v>
      </c>
      <c r="G181" s="0" t="s">
        <v>106</v>
      </c>
      <c r="H181" s="0">
        <v>0</v>
      </c>
      <c r="I181" s="0">
        <v>0</v>
      </c>
      <c r="J181" s="0">
        <v>0</v>
      </c>
      <c r="K181" s="0">
        <v>0</v>
      </c>
      <c r="L181" s="0">
        <v>0</v>
      </c>
      <c r="M181" s="0">
        <v>0</v>
      </c>
      <c r="N181" s="0" t="b">
        <v>0</v>
      </c>
      <c r="O181" s="2">
        <v>44613.583333333336</v>
      </c>
      <c r="P181" s="2">
        <v>44613.625</v>
      </c>
      <c r="Q181" s="2">
        <v>44613.208333333336</v>
      </c>
      <c r="R181" s="2">
        <v>44613.25</v>
      </c>
      <c r="S181" s="0">
        <v>60</v>
      </c>
      <c r="T181" s="0">
        <v>12</v>
      </c>
      <c r="U181" s="0">
        <v>36</v>
      </c>
      <c r="V181" s="0">
        <v>1246</v>
      </c>
      <c r="W181" s="1">
        <f>=HYPERLINK("10.175.1.14\MWEB.12\SEP\EntityDetails.10.175.1.14.MWEB.12.-scripts-1mn.1246.xlsx", "&lt;Detail&gt;")</f>
      </c>
      <c r="X181" s="1">
        <f>=HYPERLINK("10.175.1.14\MWEB.12\SEP\MetricGraphs.SEP.10.175.1.14.MWEB.12.xlsx", "&lt;Metrics&gt;")</f>
      </c>
      <c r="Y181" s="0" t="s">
        <v>107</v>
      </c>
      <c r="Z181" s="0" t="s">
        <v>108</v>
      </c>
      <c r="AA181" s="0" t="s">
        <v>134</v>
      </c>
      <c r="AB181" s="0" t="s">
        <v>810</v>
      </c>
      <c r="AC181" s="0" t="s">
        <v>109</v>
      </c>
    </row>
    <row r="182">
      <c r="A182" s="0" t="s">
        <v>28</v>
      </c>
      <c r="B182" s="0" t="s">
        <v>30</v>
      </c>
      <c r="C182" s="0" t="s">
        <v>133</v>
      </c>
      <c r="D182" s="0" t="s">
        <v>811</v>
      </c>
      <c r="E182" s="0" t="s">
        <v>229</v>
      </c>
      <c r="F182" s="0">
        <v>0</v>
      </c>
      <c r="G182" s="0" t="s">
        <v>106</v>
      </c>
      <c r="H182" s="0">
        <v>0</v>
      </c>
      <c r="I182" s="0">
        <v>0</v>
      </c>
      <c r="J182" s="0">
        <v>0</v>
      </c>
      <c r="K182" s="0">
        <v>0</v>
      </c>
      <c r="L182" s="0">
        <v>0</v>
      </c>
      <c r="M182" s="0">
        <v>0</v>
      </c>
      <c r="N182" s="0" t="b">
        <v>0</v>
      </c>
      <c r="O182" s="2">
        <v>44613.583333333336</v>
      </c>
      <c r="P182" s="2">
        <v>44613.625</v>
      </c>
      <c r="Q182" s="2">
        <v>44613.208333333336</v>
      </c>
      <c r="R182" s="2">
        <v>44613.25</v>
      </c>
      <c r="S182" s="0">
        <v>60</v>
      </c>
      <c r="T182" s="0">
        <v>12</v>
      </c>
      <c r="U182" s="0">
        <v>36</v>
      </c>
      <c r="V182" s="0">
        <v>1238</v>
      </c>
      <c r="W182" s="1">
        <f>=HYPERLINK("10.175.1.14\MWEB.12\SEP\EntityDetails.10.175.1.14.MWEB.12.-scripts-zen.1238.xlsx", "&lt;Detail&gt;")</f>
      </c>
      <c r="X182" s="1">
        <f>=HYPERLINK("10.175.1.14\MWEB.12\SEP\MetricGraphs.SEP.10.175.1.14.MWEB.12.xlsx", "&lt;Metrics&gt;")</f>
      </c>
      <c r="Y182" s="0" t="s">
        <v>107</v>
      </c>
      <c r="Z182" s="0" t="s">
        <v>108</v>
      </c>
      <c r="AA182" s="0" t="s">
        <v>134</v>
      </c>
      <c r="AB182" s="0" t="s">
        <v>812</v>
      </c>
      <c r="AC182" s="0" t="s">
        <v>109</v>
      </c>
    </row>
    <row r="183">
      <c r="A183" s="0" t="s">
        <v>28</v>
      </c>
      <c r="B183" s="0" t="s">
        <v>30</v>
      </c>
      <c r="C183" s="0" t="s">
        <v>127</v>
      </c>
      <c r="D183" s="0" t="s">
        <v>813</v>
      </c>
      <c r="E183" s="0" t="s">
        <v>229</v>
      </c>
      <c r="F183" s="0">
        <v>0</v>
      </c>
      <c r="G183" s="0" t="s">
        <v>106</v>
      </c>
      <c r="H183" s="0">
        <v>0</v>
      </c>
      <c r="I183" s="0">
        <v>0</v>
      </c>
      <c r="J183" s="0">
        <v>0</v>
      </c>
      <c r="K183" s="0">
        <v>0</v>
      </c>
      <c r="L183" s="0">
        <v>0</v>
      </c>
      <c r="M183" s="0">
        <v>0</v>
      </c>
      <c r="N183" s="0" t="b">
        <v>0</v>
      </c>
      <c r="O183" s="2">
        <v>44613.583333333336</v>
      </c>
      <c r="P183" s="2">
        <v>44613.625</v>
      </c>
      <c r="Q183" s="2">
        <v>44613.208333333336</v>
      </c>
      <c r="R183" s="2">
        <v>44613.25</v>
      </c>
      <c r="S183" s="0">
        <v>60</v>
      </c>
      <c r="T183" s="0">
        <v>12</v>
      </c>
      <c r="U183" s="0">
        <v>39</v>
      </c>
      <c r="V183" s="0">
        <v>1215</v>
      </c>
      <c r="W183" s="1">
        <f>=HYPERLINK("10.175.1.14\MWEB.12\SEP\EntityDetails.10.175.1.14.MWEB.12.-sgdadmin-fa.1215.xlsx", "&lt;Detail&gt;")</f>
      </c>
      <c r="X183" s="1">
        <f>=HYPERLINK("10.175.1.14\MWEB.12\SEP\MetricGraphs.SEP.10.175.1.14.MWEB.12.xlsx", "&lt;Metrics&gt;")</f>
      </c>
      <c r="Y183" s="0" t="s">
        <v>107</v>
      </c>
      <c r="Z183" s="0" t="s">
        <v>108</v>
      </c>
      <c r="AA183" s="0" t="s">
        <v>128</v>
      </c>
      <c r="AB183" s="0" t="s">
        <v>814</v>
      </c>
      <c r="AC183" s="0" t="s">
        <v>109</v>
      </c>
    </row>
    <row r="184">
      <c r="A184" s="0" t="s">
        <v>28</v>
      </c>
      <c r="B184" s="0" t="s">
        <v>30</v>
      </c>
      <c r="C184" s="0" t="s">
        <v>127</v>
      </c>
      <c r="D184" s="0" t="s">
        <v>815</v>
      </c>
      <c r="E184" s="0" t="s">
        <v>229</v>
      </c>
      <c r="F184" s="0">
        <v>0</v>
      </c>
      <c r="G184" s="0" t="s">
        <v>106</v>
      </c>
      <c r="H184" s="0">
        <v>0</v>
      </c>
      <c r="I184" s="0">
        <v>0</v>
      </c>
      <c r="J184" s="0">
        <v>0</v>
      </c>
      <c r="K184" s="0">
        <v>0</v>
      </c>
      <c r="L184" s="0">
        <v>0</v>
      </c>
      <c r="M184" s="0">
        <v>0</v>
      </c>
      <c r="N184" s="0" t="b">
        <v>0</v>
      </c>
      <c r="O184" s="2">
        <v>44613.583333333336</v>
      </c>
      <c r="P184" s="2">
        <v>44613.625</v>
      </c>
      <c r="Q184" s="2">
        <v>44613.208333333336</v>
      </c>
      <c r="R184" s="2">
        <v>44613.25</v>
      </c>
      <c r="S184" s="0">
        <v>60</v>
      </c>
      <c r="T184" s="0">
        <v>12</v>
      </c>
      <c r="U184" s="0">
        <v>39</v>
      </c>
      <c r="V184" s="0">
        <v>1214</v>
      </c>
      <c r="W184" s="1">
        <f>=HYPERLINK("10.175.1.14\MWEB.12\SEP\EntityDetails.10.175.1.14.MWEB.12.-spotfire-ab.1214.xlsx", "&lt;Detail&gt;")</f>
      </c>
      <c r="X184" s="1">
        <f>=HYPERLINK("10.175.1.14\MWEB.12\SEP\MetricGraphs.SEP.10.175.1.14.MWEB.12.xlsx", "&lt;Metrics&gt;")</f>
      </c>
      <c r="Y184" s="0" t="s">
        <v>107</v>
      </c>
      <c r="Z184" s="0" t="s">
        <v>108</v>
      </c>
      <c r="AA184" s="0" t="s">
        <v>128</v>
      </c>
      <c r="AB184" s="0" t="s">
        <v>816</v>
      </c>
      <c r="AC184" s="0" t="s">
        <v>109</v>
      </c>
    </row>
    <row r="185">
      <c r="A185" s="0" t="s">
        <v>28</v>
      </c>
      <c r="B185" s="0" t="s">
        <v>30</v>
      </c>
      <c r="C185" s="0" t="s">
        <v>149</v>
      </c>
      <c r="D185" s="0" t="s">
        <v>817</v>
      </c>
      <c r="E185" s="0" t="s">
        <v>229</v>
      </c>
      <c r="F185" s="0">
        <v>0</v>
      </c>
      <c r="G185" s="0" t="s">
        <v>106</v>
      </c>
      <c r="H185" s="0">
        <v>0</v>
      </c>
      <c r="I185" s="0">
        <v>0</v>
      </c>
      <c r="J185" s="0">
        <v>0</v>
      </c>
      <c r="K185" s="0">
        <v>0</v>
      </c>
      <c r="L185" s="0">
        <v>0</v>
      </c>
      <c r="M185" s="0">
        <v>0</v>
      </c>
      <c r="N185" s="0" t="b">
        <v>0</v>
      </c>
      <c r="O185" s="2">
        <v>44613.583333333336</v>
      </c>
      <c r="P185" s="2">
        <v>44613.625</v>
      </c>
      <c r="Q185" s="2">
        <v>44613.208333333336</v>
      </c>
      <c r="R185" s="2">
        <v>44613.25</v>
      </c>
      <c r="S185" s="0">
        <v>60</v>
      </c>
      <c r="T185" s="0">
        <v>12</v>
      </c>
      <c r="U185" s="0">
        <v>50</v>
      </c>
      <c r="V185" s="0">
        <v>2528</v>
      </c>
      <c r="W185" s="1">
        <f>=HYPERLINK("10.175.1.14\MWEB.12\SEP\EntityDetails.10.175.1.14.MWEB.12.-st-.2528.xlsx", "&lt;Detail&gt;")</f>
      </c>
      <c r="X185" s="1">
        <f>=HYPERLINK("10.175.1.14\MWEB.12\SEP\MetricGraphs.SEP.10.175.1.14.MWEB.12.xlsx", "&lt;Metrics&gt;")</f>
      </c>
      <c r="Y185" s="0" t="s">
        <v>107</v>
      </c>
      <c r="Z185" s="0" t="s">
        <v>108</v>
      </c>
      <c r="AA185" s="0" t="s">
        <v>150</v>
      </c>
      <c r="AB185" s="0" t="s">
        <v>818</v>
      </c>
      <c r="AC185" s="0" t="s">
        <v>109</v>
      </c>
    </row>
    <row r="186">
      <c r="A186" s="0" t="s">
        <v>28</v>
      </c>
      <c r="B186" s="0" t="s">
        <v>30</v>
      </c>
      <c r="C186" s="0" t="s">
        <v>137</v>
      </c>
      <c r="D186" s="0" t="s">
        <v>528</v>
      </c>
      <c r="E186" s="0" t="s">
        <v>229</v>
      </c>
      <c r="F186" s="0">
        <v>0</v>
      </c>
      <c r="G186" s="0" t="s">
        <v>106</v>
      </c>
      <c r="H186" s="0">
        <v>0</v>
      </c>
      <c r="I186" s="0">
        <v>0</v>
      </c>
      <c r="J186" s="0">
        <v>0</v>
      </c>
      <c r="K186" s="0">
        <v>0</v>
      </c>
      <c r="L186" s="0">
        <v>0</v>
      </c>
      <c r="M186" s="0">
        <v>0</v>
      </c>
      <c r="N186" s="0" t="b">
        <v>0</v>
      </c>
      <c r="O186" s="2">
        <v>44613.583333333336</v>
      </c>
      <c r="P186" s="2">
        <v>44613.625</v>
      </c>
      <c r="Q186" s="2">
        <v>44613.208333333336</v>
      </c>
      <c r="R186" s="2">
        <v>44613.25</v>
      </c>
      <c r="S186" s="0">
        <v>60</v>
      </c>
      <c r="T186" s="0">
        <v>12</v>
      </c>
      <c r="U186" s="0">
        <v>38</v>
      </c>
      <c r="V186" s="0">
        <v>293</v>
      </c>
      <c r="W186" s="1">
        <f>=HYPERLINK("10.175.1.14\MWEB.12\SEP\EntityDetails.10.175.1.14.MWEB.12.-stub-dummy.293.xlsx", "&lt;Detail&gt;")</f>
      </c>
      <c r="X186" s="1">
        <f>=HYPERLINK("10.175.1.14\MWEB.12\SEP\MetricGraphs.SEP.10.175.1.14.MWEB.12.xlsx", "&lt;Metrics&gt;")</f>
      </c>
      <c r="Y186" s="0" t="s">
        <v>107</v>
      </c>
      <c r="Z186" s="0" t="s">
        <v>108</v>
      </c>
      <c r="AA186" s="0" t="s">
        <v>138</v>
      </c>
      <c r="AB186" s="0" t="s">
        <v>819</v>
      </c>
      <c r="AC186" s="0" t="s">
        <v>109</v>
      </c>
    </row>
    <row r="187">
      <c r="A187" s="0" t="s">
        <v>28</v>
      </c>
      <c r="B187" s="0" t="s">
        <v>30</v>
      </c>
      <c r="C187" s="0" t="s">
        <v>125</v>
      </c>
      <c r="D187" s="0" t="s">
        <v>820</v>
      </c>
      <c r="E187" s="0" t="s">
        <v>229</v>
      </c>
      <c r="F187" s="0">
        <v>0</v>
      </c>
      <c r="G187" s="0" t="s">
        <v>106</v>
      </c>
      <c r="H187" s="0">
        <v>0</v>
      </c>
      <c r="I187" s="0">
        <v>0</v>
      </c>
      <c r="J187" s="0">
        <v>0</v>
      </c>
      <c r="K187" s="0">
        <v>0</v>
      </c>
      <c r="L187" s="0">
        <v>0</v>
      </c>
      <c r="M187" s="0">
        <v>0</v>
      </c>
      <c r="N187" s="0" t="b">
        <v>0</v>
      </c>
      <c r="O187" s="2">
        <v>44613.583333333336</v>
      </c>
      <c r="P187" s="2">
        <v>44613.625</v>
      </c>
      <c r="Q187" s="2">
        <v>44613.208333333336</v>
      </c>
      <c r="R187" s="2">
        <v>44613.25</v>
      </c>
      <c r="S187" s="0">
        <v>60</v>
      </c>
      <c r="T187" s="0">
        <v>12</v>
      </c>
      <c r="U187" s="0">
        <v>42</v>
      </c>
      <c r="V187" s="0">
        <v>1185</v>
      </c>
      <c r="W187" s="1">
        <f>=HYPERLINK("10.175.1.14\MWEB.12\SEP\EntityDetails.10.175.1.14.MWEB.12.-userportal-.1185.xlsx", "&lt;Detail&gt;")</f>
      </c>
      <c r="X187" s="1">
        <f>=HYPERLINK("10.175.1.14\MWEB.12\SEP\MetricGraphs.SEP.10.175.1.14.MWEB.12.xlsx", "&lt;Metrics&gt;")</f>
      </c>
      <c r="Y187" s="0" t="s">
        <v>107</v>
      </c>
      <c r="Z187" s="0" t="s">
        <v>108</v>
      </c>
      <c r="AA187" s="0" t="s">
        <v>126</v>
      </c>
      <c r="AB187" s="0" t="s">
        <v>821</v>
      </c>
      <c r="AC187" s="0" t="s">
        <v>109</v>
      </c>
    </row>
    <row r="188">
      <c r="A188" s="0" t="s">
        <v>28</v>
      </c>
      <c r="B188" s="0" t="s">
        <v>30</v>
      </c>
      <c r="C188" s="0" t="s">
        <v>127</v>
      </c>
      <c r="D188" s="0" t="s">
        <v>820</v>
      </c>
      <c r="E188" s="0" t="s">
        <v>229</v>
      </c>
      <c r="F188" s="0">
        <v>0</v>
      </c>
      <c r="G188" s="0" t="s">
        <v>106</v>
      </c>
      <c r="H188" s="0">
        <v>0</v>
      </c>
      <c r="I188" s="0">
        <v>0</v>
      </c>
      <c r="J188" s="0">
        <v>0</v>
      </c>
      <c r="K188" s="0">
        <v>0</v>
      </c>
      <c r="L188" s="0">
        <v>0</v>
      </c>
      <c r="M188" s="0">
        <v>0</v>
      </c>
      <c r="N188" s="0" t="b">
        <v>0</v>
      </c>
      <c r="O188" s="2">
        <v>44613.583333333336</v>
      </c>
      <c r="P188" s="2">
        <v>44613.625</v>
      </c>
      <c r="Q188" s="2">
        <v>44613.208333333336</v>
      </c>
      <c r="R188" s="2">
        <v>44613.25</v>
      </c>
      <c r="S188" s="0">
        <v>60</v>
      </c>
      <c r="T188" s="0">
        <v>12</v>
      </c>
      <c r="U188" s="0">
        <v>39</v>
      </c>
      <c r="V188" s="0">
        <v>1200</v>
      </c>
      <c r="W188" s="1">
        <f>=HYPERLINK("10.175.1.14\MWEB.12\SEP\EntityDetails.10.175.1.14.MWEB.12.-userportal-.1200.xlsx", "&lt;Detail&gt;")</f>
      </c>
      <c r="X188" s="1">
        <f>=HYPERLINK("10.175.1.14\MWEB.12\SEP\MetricGraphs.SEP.10.175.1.14.MWEB.12.xlsx", "&lt;Metrics&gt;")</f>
      </c>
      <c r="Y188" s="0" t="s">
        <v>107</v>
      </c>
      <c r="Z188" s="0" t="s">
        <v>108</v>
      </c>
      <c r="AA188" s="0" t="s">
        <v>128</v>
      </c>
      <c r="AB188" s="0" t="s">
        <v>822</v>
      </c>
      <c r="AC188" s="0" t="s">
        <v>109</v>
      </c>
    </row>
    <row r="189">
      <c r="A189" s="0" t="s">
        <v>28</v>
      </c>
      <c r="B189" s="0" t="s">
        <v>30</v>
      </c>
      <c r="C189" s="0" t="s">
        <v>133</v>
      </c>
      <c r="D189" s="0" t="s">
        <v>820</v>
      </c>
      <c r="E189" s="0" t="s">
        <v>229</v>
      </c>
      <c r="F189" s="0">
        <v>0</v>
      </c>
      <c r="G189" s="0" t="s">
        <v>106</v>
      </c>
      <c r="H189" s="0">
        <v>0</v>
      </c>
      <c r="I189" s="0">
        <v>0</v>
      </c>
      <c r="J189" s="0">
        <v>0</v>
      </c>
      <c r="K189" s="0">
        <v>0</v>
      </c>
      <c r="L189" s="0">
        <v>0</v>
      </c>
      <c r="M189" s="0">
        <v>0</v>
      </c>
      <c r="N189" s="0" t="b">
        <v>0</v>
      </c>
      <c r="O189" s="2">
        <v>44613.583333333336</v>
      </c>
      <c r="P189" s="2">
        <v>44613.625</v>
      </c>
      <c r="Q189" s="2">
        <v>44613.208333333336</v>
      </c>
      <c r="R189" s="2">
        <v>44613.25</v>
      </c>
      <c r="S189" s="0">
        <v>60</v>
      </c>
      <c r="T189" s="0">
        <v>12</v>
      </c>
      <c r="U189" s="0">
        <v>36</v>
      </c>
      <c r="V189" s="0">
        <v>1234</v>
      </c>
      <c r="W189" s="1">
        <f>=HYPERLINK("10.175.1.14\MWEB.12\SEP\EntityDetails.10.175.1.14.MWEB.12.-userportal-.1234.xlsx", "&lt;Detail&gt;")</f>
      </c>
      <c r="X189" s="1">
        <f>=HYPERLINK("10.175.1.14\MWEB.12\SEP\MetricGraphs.SEP.10.175.1.14.MWEB.12.xlsx", "&lt;Metrics&gt;")</f>
      </c>
      <c r="Y189" s="0" t="s">
        <v>107</v>
      </c>
      <c r="Z189" s="0" t="s">
        <v>108</v>
      </c>
      <c r="AA189" s="0" t="s">
        <v>134</v>
      </c>
      <c r="AB189" s="0" t="s">
        <v>823</v>
      </c>
      <c r="AC189" s="0" t="s">
        <v>109</v>
      </c>
    </row>
    <row r="190">
      <c r="A190" s="0" t="s">
        <v>28</v>
      </c>
      <c r="B190" s="0" t="s">
        <v>30</v>
      </c>
      <c r="C190" s="0" t="s">
        <v>127</v>
      </c>
      <c r="D190" s="0" t="s">
        <v>824</v>
      </c>
      <c r="E190" s="0" t="s">
        <v>229</v>
      </c>
      <c r="F190" s="0">
        <v>0</v>
      </c>
      <c r="G190" s="0" t="s">
        <v>106</v>
      </c>
      <c r="H190" s="0">
        <v>0</v>
      </c>
      <c r="I190" s="0">
        <v>0</v>
      </c>
      <c r="J190" s="0">
        <v>0</v>
      </c>
      <c r="K190" s="0">
        <v>0</v>
      </c>
      <c r="L190" s="0">
        <v>0</v>
      </c>
      <c r="M190" s="0">
        <v>0</v>
      </c>
      <c r="N190" s="0" t="b">
        <v>0</v>
      </c>
      <c r="O190" s="2">
        <v>44613.583333333336</v>
      </c>
      <c r="P190" s="2">
        <v>44613.625</v>
      </c>
      <c r="Q190" s="2">
        <v>44613.208333333336</v>
      </c>
      <c r="R190" s="2">
        <v>44613.25</v>
      </c>
      <c r="S190" s="0">
        <v>60</v>
      </c>
      <c r="T190" s="0">
        <v>12</v>
      </c>
      <c r="U190" s="0">
        <v>39</v>
      </c>
      <c r="V190" s="0">
        <v>1203</v>
      </c>
      <c r="W190" s="1">
        <f>=HYPERLINK("10.175.1.14\MWEB.12\SEP\EntityDetails.10.175.1.14.MWEB.12.-vr4l7s8f.js.1203.xlsx", "&lt;Detail&gt;")</f>
      </c>
      <c r="X190" s="1">
        <f>=HYPERLINK("10.175.1.14\MWEB.12\SEP\MetricGraphs.SEP.10.175.1.14.MWEB.12.xlsx", "&lt;Metrics&gt;")</f>
      </c>
      <c r="Y190" s="0" t="s">
        <v>107</v>
      </c>
      <c r="Z190" s="0" t="s">
        <v>108</v>
      </c>
      <c r="AA190" s="0" t="s">
        <v>128</v>
      </c>
      <c r="AB190" s="0" t="s">
        <v>825</v>
      </c>
      <c r="AC190" s="0" t="s">
        <v>109</v>
      </c>
    </row>
    <row r="191">
      <c r="A191" s="0" t="s">
        <v>28</v>
      </c>
      <c r="B191" s="0" t="s">
        <v>30</v>
      </c>
      <c r="C191" s="0" t="s">
        <v>125</v>
      </c>
      <c r="D191" s="0" t="s">
        <v>826</v>
      </c>
      <c r="E191" s="0" t="s">
        <v>229</v>
      </c>
      <c r="F191" s="0">
        <v>0</v>
      </c>
      <c r="G191" s="0" t="s">
        <v>106</v>
      </c>
      <c r="H191" s="0">
        <v>0</v>
      </c>
      <c r="I191" s="0">
        <v>0</v>
      </c>
      <c r="J191" s="0">
        <v>0</v>
      </c>
      <c r="K191" s="0">
        <v>0</v>
      </c>
      <c r="L191" s="0">
        <v>0</v>
      </c>
      <c r="M191" s="0">
        <v>0</v>
      </c>
      <c r="N191" s="0" t="b">
        <v>0</v>
      </c>
      <c r="O191" s="2">
        <v>44613.583333333336</v>
      </c>
      <c r="P191" s="2">
        <v>44613.625</v>
      </c>
      <c r="Q191" s="2">
        <v>44613.208333333336</v>
      </c>
      <c r="R191" s="2">
        <v>44613.25</v>
      </c>
      <c r="S191" s="0">
        <v>60</v>
      </c>
      <c r="T191" s="0">
        <v>12</v>
      </c>
      <c r="U191" s="0">
        <v>42</v>
      </c>
      <c r="V191" s="0">
        <v>1188</v>
      </c>
      <c r="W191" s="1">
        <f>=HYPERLINK("10.175.1.14\MWEB.12\SEP\EntityDetails.10.175.1.14.MWEB.12.-webconsole-.1188.xlsx", "&lt;Detail&gt;")</f>
      </c>
      <c r="X191" s="1">
        <f>=HYPERLINK("10.175.1.14\MWEB.12\SEP\MetricGraphs.SEP.10.175.1.14.MWEB.12.xlsx", "&lt;Metrics&gt;")</f>
      </c>
      <c r="Y191" s="0" t="s">
        <v>107</v>
      </c>
      <c r="Z191" s="0" t="s">
        <v>108</v>
      </c>
      <c r="AA191" s="0" t="s">
        <v>126</v>
      </c>
      <c r="AB191" s="0" t="s">
        <v>827</v>
      </c>
      <c r="AC191" s="0" t="s">
        <v>109</v>
      </c>
    </row>
    <row r="192">
      <c r="A192" s="0" t="s">
        <v>28</v>
      </c>
      <c r="B192" s="0" t="s">
        <v>30</v>
      </c>
      <c r="C192" s="0" t="s">
        <v>127</v>
      </c>
      <c r="D192" s="0" t="s">
        <v>826</v>
      </c>
      <c r="E192" s="0" t="s">
        <v>229</v>
      </c>
      <c r="F192" s="0">
        <v>0</v>
      </c>
      <c r="G192" s="0" t="s">
        <v>106</v>
      </c>
      <c r="H192" s="0">
        <v>0</v>
      </c>
      <c r="I192" s="0">
        <v>0</v>
      </c>
      <c r="J192" s="0">
        <v>0</v>
      </c>
      <c r="K192" s="0">
        <v>0</v>
      </c>
      <c r="L192" s="0">
        <v>0</v>
      </c>
      <c r="M192" s="0">
        <v>0</v>
      </c>
      <c r="N192" s="0" t="b">
        <v>0</v>
      </c>
      <c r="O192" s="2">
        <v>44613.583333333336</v>
      </c>
      <c r="P192" s="2">
        <v>44613.625</v>
      </c>
      <c r="Q192" s="2">
        <v>44613.208333333336</v>
      </c>
      <c r="R192" s="2">
        <v>44613.25</v>
      </c>
      <c r="S192" s="0">
        <v>60</v>
      </c>
      <c r="T192" s="0">
        <v>12</v>
      </c>
      <c r="U192" s="0">
        <v>39</v>
      </c>
      <c r="V192" s="0">
        <v>1202</v>
      </c>
      <c r="W192" s="1">
        <f>=HYPERLINK("10.175.1.14\MWEB.12\SEP\EntityDetails.10.175.1.14.MWEB.12.-webconsole-.1202.xlsx", "&lt;Detail&gt;")</f>
      </c>
      <c r="X192" s="1">
        <f>=HYPERLINK("10.175.1.14\MWEB.12\SEP\MetricGraphs.SEP.10.175.1.14.MWEB.12.xlsx", "&lt;Metrics&gt;")</f>
      </c>
      <c r="Y192" s="0" t="s">
        <v>107</v>
      </c>
      <c r="Z192" s="0" t="s">
        <v>108</v>
      </c>
      <c r="AA192" s="0" t="s">
        <v>128</v>
      </c>
      <c r="AB192" s="0" t="s">
        <v>828</v>
      </c>
      <c r="AC192" s="0" t="s">
        <v>109</v>
      </c>
    </row>
    <row r="193">
      <c r="A193" s="0" t="s">
        <v>28</v>
      </c>
      <c r="B193" s="0" t="s">
        <v>30</v>
      </c>
      <c r="C193" s="0" t="s">
        <v>133</v>
      </c>
      <c r="D193" s="0" t="s">
        <v>826</v>
      </c>
      <c r="E193" s="0" t="s">
        <v>229</v>
      </c>
      <c r="F193" s="0">
        <v>0</v>
      </c>
      <c r="G193" s="0" t="s">
        <v>106</v>
      </c>
      <c r="H193" s="0">
        <v>0</v>
      </c>
      <c r="I193" s="0">
        <v>0</v>
      </c>
      <c r="J193" s="0">
        <v>0</v>
      </c>
      <c r="K193" s="0">
        <v>0</v>
      </c>
      <c r="L193" s="0">
        <v>0</v>
      </c>
      <c r="M193" s="0">
        <v>0</v>
      </c>
      <c r="N193" s="0" t="b">
        <v>0</v>
      </c>
      <c r="O193" s="2">
        <v>44613.583333333336</v>
      </c>
      <c r="P193" s="2">
        <v>44613.625</v>
      </c>
      <c r="Q193" s="2">
        <v>44613.208333333336</v>
      </c>
      <c r="R193" s="2">
        <v>44613.25</v>
      </c>
      <c r="S193" s="0">
        <v>60</v>
      </c>
      <c r="T193" s="0">
        <v>12</v>
      </c>
      <c r="U193" s="0">
        <v>36</v>
      </c>
      <c r="V193" s="0">
        <v>1236</v>
      </c>
      <c r="W193" s="1">
        <f>=HYPERLINK("10.175.1.14\MWEB.12\SEP\EntityDetails.10.175.1.14.MWEB.12.-webconsole-.1236.xlsx", "&lt;Detail&gt;")</f>
      </c>
      <c r="X193" s="1">
        <f>=HYPERLINK("10.175.1.14\MWEB.12\SEP\MetricGraphs.SEP.10.175.1.14.MWEB.12.xlsx", "&lt;Metrics&gt;")</f>
      </c>
      <c r="Y193" s="0" t="s">
        <v>107</v>
      </c>
      <c r="Z193" s="0" t="s">
        <v>108</v>
      </c>
      <c r="AA193" s="0" t="s">
        <v>134</v>
      </c>
      <c r="AB193" s="0" t="s">
        <v>829</v>
      </c>
      <c r="AC193" s="0" t="s">
        <v>109</v>
      </c>
    </row>
    <row r="194">
      <c r="A194" s="0" t="s">
        <v>28</v>
      </c>
      <c r="B194" s="0" t="s">
        <v>30</v>
      </c>
      <c r="C194" s="0" t="s">
        <v>125</v>
      </c>
      <c r="D194" s="0" t="s">
        <v>532</v>
      </c>
      <c r="E194" s="0" t="s">
        <v>229</v>
      </c>
      <c r="F194" s="0">
        <v>0</v>
      </c>
      <c r="G194" s="0" t="s">
        <v>106</v>
      </c>
      <c r="H194" s="0">
        <v>0</v>
      </c>
      <c r="I194" s="0">
        <v>0</v>
      </c>
      <c r="J194" s="0">
        <v>0</v>
      </c>
      <c r="K194" s="0">
        <v>0</v>
      </c>
      <c r="L194" s="0">
        <v>0</v>
      </c>
      <c r="M194" s="0">
        <v>0</v>
      </c>
      <c r="N194" s="0" t="b">
        <v>0</v>
      </c>
      <c r="O194" s="2">
        <v>44613.583333333336</v>
      </c>
      <c r="P194" s="2">
        <v>44613.625</v>
      </c>
      <c r="Q194" s="2">
        <v>44613.208333333336</v>
      </c>
      <c r="R194" s="2">
        <v>44613.25</v>
      </c>
      <c r="S194" s="0">
        <v>60</v>
      </c>
      <c r="T194" s="0">
        <v>12</v>
      </c>
      <c r="U194" s="0">
        <v>42</v>
      </c>
      <c r="V194" s="0">
        <v>162</v>
      </c>
      <c r="W194" s="1">
        <f>=HYPERLINK("10.175.1.14\MWEB.12\SEP\EntityDetails.10.175.1.14.MWEB.12.-WEB-INF-jsp.162.xlsx", "&lt;Detail&gt;")</f>
      </c>
      <c r="X194" s="1">
        <f>=HYPERLINK("10.175.1.14\MWEB.12\SEP\MetricGraphs.SEP.10.175.1.14.MWEB.12.xlsx", "&lt;Metrics&gt;")</f>
      </c>
      <c r="Y194" s="0" t="s">
        <v>107</v>
      </c>
      <c r="Z194" s="0" t="s">
        <v>108</v>
      </c>
      <c r="AA194" s="0" t="s">
        <v>126</v>
      </c>
      <c r="AB194" s="0" t="s">
        <v>830</v>
      </c>
      <c r="AC194" s="0" t="s">
        <v>109</v>
      </c>
    </row>
    <row r="195">
      <c r="A195" s="0" t="s">
        <v>28</v>
      </c>
      <c r="B195" s="0" t="s">
        <v>30</v>
      </c>
      <c r="C195" s="0" t="s">
        <v>127</v>
      </c>
      <c r="D195" s="0" t="s">
        <v>532</v>
      </c>
      <c r="E195" s="0" t="s">
        <v>229</v>
      </c>
      <c r="F195" s="0">
        <v>0</v>
      </c>
      <c r="G195" s="0" t="s">
        <v>106</v>
      </c>
      <c r="H195" s="0">
        <v>0</v>
      </c>
      <c r="I195" s="0">
        <v>0</v>
      </c>
      <c r="J195" s="0">
        <v>0</v>
      </c>
      <c r="K195" s="0">
        <v>0</v>
      </c>
      <c r="L195" s="0">
        <v>0</v>
      </c>
      <c r="M195" s="0">
        <v>0</v>
      </c>
      <c r="N195" s="0" t="b">
        <v>0</v>
      </c>
      <c r="O195" s="2">
        <v>44613.583333333336</v>
      </c>
      <c r="P195" s="2">
        <v>44613.625</v>
      </c>
      <c r="Q195" s="2">
        <v>44613.208333333336</v>
      </c>
      <c r="R195" s="2">
        <v>44613.25</v>
      </c>
      <c r="S195" s="0">
        <v>60</v>
      </c>
      <c r="T195" s="0">
        <v>12</v>
      </c>
      <c r="U195" s="0">
        <v>39</v>
      </c>
      <c r="V195" s="0">
        <v>355</v>
      </c>
      <c r="W195" s="1">
        <f>=HYPERLINK("10.175.1.14\MWEB.12\SEP\EntityDetails.10.175.1.14.MWEB.12.-WEB-INF-jsp.355.xlsx", "&lt;Detail&gt;")</f>
      </c>
      <c r="X195" s="1">
        <f>=HYPERLINK("10.175.1.14\MWEB.12\SEP\MetricGraphs.SEP.10.175.1.14.MWEB.12.xlsx", "&lt;Metrics&gt;")</f>
      </c>
      <c r="Y195" s="0" t="s">
        <v>107</v>
      </c>
      <c r="Z195" s="0" t="s">
        <v>108</v>
      </c>
      <c r="AA195" s="0" t="s">
        <v>128</v>
      </c>
      <c r="AB195" s="0" t="s">
        <v>831</v>
      </c>
      <c r="AC195" s="0" t="s">
        <v>109</v>
      </c>
    </row>
    <row r="196">
      <c r="A196" s="0" t="s">
        <v>28</v>
      </c>
      <c r="B196" s="0" t="s">
        <v>30</v>
      </c>
      <c r="C196" s="0" t="s">
        <v>131</v>
      </c>
      <c r="D196" s="0" t="s">
        <v>532</v>
      </c>
      <c r="E196" s="0" t="s">
        <v>229</v>
      </c>
      <c r="F196" s="0">
        <v>0</v>
      </c>
      <c r="G196" s="0" t="s">
        <v>106</v>
      </c>
      <c r="H196" s="0">
        <v>0</v>
      </c>
      <c r="I196" s="0">
        <v>0</v>
      </c>
      <c r="J196" s="0">
        <v>0</v>
      </c>
      <c r="K196" s="0">
        <v>0</v>
      </c>
      <c r="L196" s="0">
        <v>0</v>
      </c>
      <c r="M196" s="0">
        <v>0</v>
      </c>
      <c r="N196" s="0" t="b">
        <v>0</v>
      </c>
      <c r="O196" s="2">
        <v>44613.583333333336</v>
      </c>
      <c r="P196" s="2">
        <v>44613.625</v>
      </c>
      <c r="Q196" s="2">
        <v>44613.208333333336</v>
      </c>
      <c r="R196" s="2">
        <v>44613.25</v>
      </c>
      <c r="S196" s="0">
        <v>60</v>
      </c>
      <c r="T196" s="0">
        <v>12</v>
      </c>
      <c r="U196" s="0">
        <v>40</v>
      </c>
      <c r="V196" s="0">
        <v>874</v>
      </c>
      <c r="W196" s="1">
        <f>=HYPERLINK("10.175.1.14\MWEB.12\SEP\EntityDetails.10.175.1.14.MWEB.12.-WEB-INF-jsp.874.xlsx", "&lt;Detail&gt;")</f>
      </c>
      <c r="X196" s="1">
        <f>=HYPERLINK("10.175.1.14\MWEB.12\SEP\MetricGraphs.SEP.10.175.1.14.MWEB.12.xlsx", "&lt;Metrics&gt;")</f>
      </c>
      <c r="Y196" s="0" t="s">
        <v>107</v>
      </c>
      <c r="Z196" s="0" t="s">
        <v>108</v>
      </c>
      <c r="AA196" s="0" t="s">
        <v>132</v>
      </c>
      <c r="AB196" s="0" t="s">
        <v>832</v>
      </c>
      <c r="AC196" s="0" t="s">
        <v>109</v>
      </c>
    </row>
    <row r="197">
      <c r="A197" s="0" t="s">
        <v>28</v>
      </c>
      <c r="B197" s="0" t="s">
        <v>30</v>
      </c>
      <c r="C197" s="0" t="s">
        <v>147</v>
      </c>
      <c r="D197" s="0" t="s">
        <v>532</v>
      </c>
      <c r="E197" s="0" t="s">
        <v>229</v>
      </c>
      <c r="F197" s="0">
        <v>0</v>
      </c>
      <c r="G197" s="0" t="s">
        <v>106</v>
      </c>
      <c r="H197" s="0">
        <v>0</v>
      </c>
      <c r="I197" s="0">
        <v>0</v>
      </c>
      <c r="J197" s="0">
        <v>0</v>
      </c>
      <c r="K197" s="0">
        <v>0</v>
      </c>
      <c r="L197" s="0">
        <v>0</v>
      </c>
      <c r="M197" s="0">
        <v>0</v>
      </c>
      <c r="N197" s="0" t="b">
        <v>0</v>
      </c>
      <c r="O197" s="2">
        <v>44613.583333333336</v>
      </c>
      <c r="P197" s="2">
        <v>44613.625</v>
      </c>
      <c r="Q197" s="2">
        <v>44613.208333333336</v>
      </c>
      <c r="R197" s="2">
        <v>44613.25</v>
      </c>
      <c r="S197" s="0">
        <v>60</v>
      </c>
      <c r="T197" s="0">
        <v>12</v>
      </c>
      <c r="U197" s="0">
        <v>49</v>
      </c>
      <c r="V197" s="0">
        <v>2535</v>
      </c>
      <c r="W197" s="1">
        <f>=HYPERLINK("10.175.1.14\MWEB.12\SEP\EntityDetails.10.175.1.14.MWEB.12.-WEB-INF-jsp.2535.xlsx", "&lt;Detail&gt;")</f>
      </c>
      <c r="X197" s="1">
        <f>=HYPERLINK("10.175.1.14\MWEB.12\SEP\MetricGraphs.SEP.10.175.1.14.MWEB.12.xlsx", "&lt;Metrics&gt;")</f>
      </c>
      <c r="Y197" s="0" t="s">
        <v>107</v>
      </c>
      <c r="Z197" s="0" t="s">
        <v>108</v>
      </c>
      <c r="AA197" s="0" t="s">
        <v>148</v>
      </c>
      <c r="AB197" s="0" t="s">
        <v>833</v>
      </c>
      <c r="AC197" s="0" t="s">
        <v>109</v>
      </c>
    </row>
    <row r="198">
      <c r="A198" s="0" t="s">
        <v>28</v>
      </c>
      <c r="B198" s="0" t="s">
        <v>30</v>
      </c>
      <c r="C198" s="0" t="s">
        <v>133</v>
      </c>
      <c r="D198" s="0" t="s">
        <v>834</v>
      </c>
      <c r="E198" s="0" t="s">
        <v>229</v>
      </c>
      <c r="F198" s="0">
        <v>0</v>
      </c>
      <c r="G198" s="0" t="s">
        <v>106</v>
      </c>
      <c r="H198" s="0">
        <v>0</v>
      </c>
      <c r="I198" s="0">
        <v>0</v>
      </c>
      <c r="J198" s="0">
        <v>0</v>
      </c>
      <c r="K198" s="0">
        <v>0</v>
      </c>
      <c r="L198" s="0">
        <v>0</v>
      </c>
      <c r="M198" s="0">
        <v>0</v>
      </c>
      <c r="N198" s="0" t="b">
        <v>0</v>
      </c>
      <c r="O198" s="2">
        <v>44613.583333333336</v>
      </c>
      <c r="P198" s="2">
        <v>44613.625</v>
      </c>
      <c r="Q198" s="2">
        <v>44613.208333333336</v>
      </c>
      <c r="R198" s="2">
        <v>44613.25</v>
      </c>
      <c r="S198" s="0">
        <v>60</v>
      </c>
      <c r="T198" s="0">
        <v>12</v>
      </c>
      <c r="U198" s="0">
        <v>36</v>
      </c>
      <c r="V198" s="0">
        <v>1230</v>
      </c>
      <c r="W198" s="1">
        <f>=HYPERLINK("10.175.1.14\MWEB.12\SEP\EntityDetails.10.175.1.14.MWEB.12.-weblogic-in.1230.xlsx", "&lt;Detail&gt;")</f>
      </c>
      <c r="X198" s="1">
        <f>=HYPERLINK("10.175.1.14\MWEB.12\SEP\MetricGraphs.SEP.10.175.1.14.MWEB.12.xlsx", "&lt;Metrics&gt;")</f>
      </c>
      <c r="Y198" s="0" t="s">
        <v>107</v>
      </c>
      <c r="Z198" s="0" t="s">
        <v>108</v>
      </c>
      <c r="AA198" s="0" t="s">
        <v>134</v>
      </c>
      <c r="AB198" s="0" t="s">
        <v>835</v>
      </c>
      <c r="AC198" s="0" t="s">
        <v>109</v>
      </c>
    </row>
    <row r="199">
      <c r="A199" s="0" t="s">
        <v>28</v>
      </c>
      <c r="B199" s="0" t="s">
        <v>30</v>
      </c>
      <c r="C199" s="0" t="s">
        <v>135</v>
      </c>
      <c r="D199" s="0" t="s">
        <v>834</v>
      </c>
      <c r="E199" s="0" t="s">
        <v>229</v>
      </c>
      <c r="F199" s="0">
        <v>0</v>
      </c>
      <c r="G199" s="0" t="s">
        <v>106</v>
      </c>
      <c r="H199" s="0">
        <v>0</v>
      </c>
      <c r="I199" s="0">
        <v>0</v>
      </c>
      <c r="J199" s="0">
        <v>0</v>
      </c>
      <c r="K199" s="0">
        <v>0</v>
      </c>
      <c r="L199" s="0">
        <v>0</v>
      </c>
      <c r="M199" s="0">
        <v>0</v>
      </c>
      <c r="N199" s="0" t="b">
        <v>0</v>
      </c>
      <c r="O199" s="2">
        <v>44613.583333333336</v>
      </c>
      <c r="P199" s="2">
        <v>44613.625</v>
      </c>
      <c r="Q199" s="2">
        <v>44613.208333333336</v>
      </c>
      <c r="R199" s="2">
        <v>44613.25</v>
      </c>
      <c r="S199" s="0">
        <v>60</v>
      </c>
      <c r="T199" s="0">
        <v>12</v>
      </c>
      <c r="U199" s="0">
        <v>37</v>
      </c>
      <c r="V199" s="0">
        <v>1232</v>
      </c>
      <c r="W199" s="1">
        <f>=HYPERLINK("10.175.1.14\MWEB.12\SEP\EntityDetails.10.175.1.14.MWEB.12.-weblogic-in.1232.xlsx", "&lt;Detail&gt;")</f>
      </c>
      <c r="X199" s="1">
        <f>=HYPERLINK("10.175.1.14\MWEB.12\SEP\MetricGraphs.SEP.10.175.1.14.MWEB.12.xlsx", "&lt;Metrics&gt;")</f>
      </c>
      <c r="Y199" s="0" t="s">
        <v>107</v>
      </c>
      <c r="Z199" s="0" t="s">
        <v>108</v>
      </c>
      <c r="AA199" s="0" t="s">
        <v>136</v>
      </c>
      <c r="AB199" s="0" t="s">
        <v>836</v>
      </c>
      <c r="AC199" s="0" t="s">
        <v>109</v>
      </c>
    </row>
    <row r="200">
      <c r="A200" s="0" t="s">
        <v>28</v>
      </c>
      <c r="B200" s="0" t="s">
        <v>30</v>
      </c>
      <c r="C200" s="0" t="s">
        <v>137</v>
      </c>
      <c r="D200" s="0" t="s">
        <v>834</v>
      </c>
      <c r="E200" s="0" t="s">
        <v>229</v>
      </c>
      <c r="F200" s="0">
        <v>0</v>
      </c>
      <c r="G200" s="0" t="s">
        <v>106</v>
      </c>
      <c r="H200" s="0">
        <v>0</v>
      </c>
      <c r="I200" s="0">
        <v>0</v>
      </c>
      <c r="J200" s="0">
        <v>0</v>
      </c>
      <c r="K200" s="0">
        <v>0</v>
      </c>
      <c r="L200" s="0">
        <v>0</v>
      </c>
      <c r="M200" s="0">
        <v>0</v>
      </c>
      <c r="N200" s="0" t="b">
        <v>0</v>
      </c>
      <c r="O200" s="2">
        <v>44613.583333333336</v>
      </c>
      <c r="P200" s="2">
        <v>44613.625</v>
      </c>
      <c r="Q200" s="2">
        <v>44613.208333333336</v>
      </c>
      <c r="R200" s="2">
        <v>44613.25</v>
      </c>
      <c r="S200" s="0">
        <v>60</v>
      </c>
      <c r="T200" s="0">
        <v>12</v>
      </c>
      <c r="U200" s="0">
        <v>38</v>
      </c>
      <c r="V200" s="0">
        <v>1233</v>
      </c>
      <c r="W200" s="1">
        <f>=HYPERLINK("10.175.1.14\MWEB.12\SEP\EntityDetails.10.175.1.14.MWEB.12.-weblogic-in.1233.xlsx", "&lt;Detail&gt;")</f>
      </c>
      <c r="X200" s="1">
        <f>=HYPERLINK("10.175.1.14\MWEB.12\SEP\MetricGraphs.SEP.10.175.1.14.MWEB.12.xlsx", "&lt;Metrics&gt;")</f>
      </c>
      <c r="Y200" s="0" t="s">
        <v>107</v>
      </c>
      <c r="Z200" s="0" t="s">
        <v>108</v>
      </c>
      <c r="AA200" s="0" t="s">
        <v>138</v>
      </c>
      <c r="AB200" s="0" t="s">
        <v>837</v>
      </c>
      <c r="AC200" s="0" t="s">
        <v>109</v>
      </c>
    </row>
    <row r="201">
      <c r="A201" s="0" t="s">
        <v>28</v>
      </c>
      <c r="B201" s="0" t="s">
        <v>30</v>
      </c>
      <c r="C201" s="0" t="s">
        <v>143</v>
      </c>
      <c r="D201" s="0" t="s">
        <v>834</v>
      </c>
      <c r="E201" s="0" t="s">
        <v>229</v>
      </c>
      <c r="F201" s="0">
        <v>0</v>
      </c>
      <c r="G201" s="0" t="s">
        <v>106</v>
      </c>
      <c r="H201" s="0">
        <v>0</v>
      </c>
      <c r="I201" s="0">
        <v>0</v>
      </c>
      <c r="J201" s="0">
        <v>0</v>
      </c>
      <c r="K201" s="0">
        <v>0</v>
      </c>
      <c r="L201" s="0">
        <v>0</v>
      </c>
      <c r="M201" s="0">
        <v>0</v>
      </c>
      <c r="N201" s="0" t="b">
        <v>0</v>
      </c>
      <c r="O201" s="2">
        <v>44613.583333333336</v>
      </c>
      <c r="P201" s="2">
        <v>44613.625</v>
      </c>
      <c r="Q201" s="2">
        <v>44613.208333333336</v>
      </c>
      <c r="R201" s="2">
        <v>44613.25</v>
      </c>
      <c r="S201" s="0">
        <v>60</v>
      </c>
      <c r="T201" s="0">
        <v>12</v>
      </c>
      <c r="U201" s="0">
        <v>43</v>
      </c>
      <c r="V201" s="0">
        <v>1218</v>
      </c>
      <c r="W201" s="1">
        <f>=HYPERLINK("10.175.1.14\MWEB.12\SEP\EntityDetails.10.175.1.14.MWEB.12.-weblogic-in.1218.xlsx", "&lt;Detail&gt;")</f>
      </c>
      <c r="X201" s="1">
        <f>=HYPERLINK("10.175.1.14\MWEB.12\SEP\MetricGraphs.SEP.10.175.1.14.MWEB.12.xlsx", "&lt;Metrics&gt;")</f>
      </c>
      <c r="Y201" s="0" t="s">
        <v>107</v>
      </c>
      <c r="Z201" s="0" t="s">
        <v>108</v>
      </c>
      <c r="AA201" s="0" t="s">
        <v>144</v>
      </c>
      <c r="AB201" s="0" t="s">
        <v>838</v>
      </c>
      <c r="AC201" s="0" t="s">
        <v>109</v>
      </c>
    </row>
    <row r="202">
      <c r="A202" s="0" t="s">
        <v>28</v>
      </c>
      <c r="B202" s="0" t="s">
        <v>30</v>
      </c>
      <c r="C202" s="0" t="s">
        <v>163</v>
      </c>
      <c r="D202" s="0" t="s">
        <v>834</v>
      </c>
      <c r="E202" s="0" t="s">
        <v>229</v>
      </c>
      <c r="F202" s="0">
        <v>0</v>
      </c>
      <c r="G202" s="0" t="s">
        <v>106</v>
      </c>
      <c r="H202" s="0">
        <v>0</v>
      </c>
      <c r="I202" s="0">
        <v>0</v>
      </c>
      <c r="J202" s="0">
        <v>0</v>
      </c>
      <c r="K202" s="0">
        <v>0</v>
      </c>
      <c r="L202" s="0">
        <v>0</v>
      </c>
      <c r="M202" s="0">
        <v>0</v>
      </c>
      <c r="N202" s="0" t="b">
        <v>0</v>
      </c>
      <c r="O202" s="2">
        <v>44613.583333333336</v>
      </c>
      <c r="P202" s="2">
        <v>44613.625</v>
      </c>
      <c r="Q202" s="2">
        <v>44613.208333333336</v>
      </c>
      <c r="R202" s="2">
        <v>44613.25</v>
      </c>
      <c r="S202" s="0">
        <v>60</v>
      </c>
      <c r="T202" s="0">
        <v>12</v>
      </c>
      <c r="U202" s="0">
        <v>55</v>
      </c>
      <c r="V202" s="0">
        <v>3055</v>
      </c>
      <c r="W202" s="1">
        <f>=HYPERLINK("10.175.1.14\MWEB.12\SEP\EntityDetails.10.175.1.14.MWEB.12.-weblogic-in.3055.xlsx", "&lt;Detail&gt;")</f>
      </c>
      <c r="X202" s="1">
        <f>=HYPERLINK("10.175.1.14\MWEB.12\SEP\MetricGraphs.SEP.10.175.1.14.MWEB.12.xlsx", "&lt;Metrics&gt;")</f>
      </c>
      <c r="Y202" s="0" t="s">
        <v>107</v>
      </c>
      <c r="Z202" s="0" t="s">
        <v>108</v>
      </c>
      <c r="AA202" s="0" t="s">
        <v>164</v>
      </c>
      <c r="AB202" s="0" t="s">
        <v>839</v>
      </c>
      <c r="AC202" s="0" t="s">
        <v>109</v>
      </c>
    </row>
    <row r="203">
      <c r="A203" s="0" t="s">
        <v>28</v>
      </c>
      <c r="B203" s="0" t="s">
        <v>30</v>
      </c>
      <c r="C203" s="0" t="s">
        <v>133</v>
      </c>
      <c r="D203" s="0" t="s">
        <v>840</v>
      </c>
      <c r="E203" s="0" t="s">
        <v>229</v>
      </c>
      <c r="F203" s="0">
        <v>0</v>
      </c>
      <c r="G203" s="0" t="s">
        <v>106</v>
      </c>
      <c r="H203" s="0">
        <v>0</v>
      </c>
      <c r="I203" s="0">
        <v>0</v>
      </c>
      <c r="J203" s="0">
        <v>0</v>
      </c>
      <c r="K203" s="0">
        <v>0</v>
      </c>
      <c r="L203" s="0">
        <v>0</v>
      </c>
      <c r="M203" s="0">
        <v>0</v>
      </c>
      <c r="N203" s="0" t="b">
        <v>0</v>
      </c>
      <c r="O203" s="2">
        <v>44613.583333333336</v>
      </c>
      <c r="P203" s="2">
        <v>44613.625</v>
      </c>
      <c r="Q203" s="2">
        <v>44613.208333333336</v>
      </c>
      <c r="R203" s="2">
        <v>44613.25</v>
      </c>
      <c r="S203" s="0">
        <v>60</v>
      </c>
      <c r="T203" s="0">
        <v>12</v>
      </c>
      <c r="U203" s="0">
        <v>36</v>
      </c>
      <c r="V203" s="0">
        <v>1249</v>
      </c>
      <c r="W203" s="1">
        <f>=HYPERLINK("10.175.1.14\MWEB.12\SEP\EntityDetails.10.175.1.14.MWEB.12.-WebServiceI.1249.xlsx", "&lt;Detail&gt;")</f>
      </c>
      <c r="X203" s="1">
        <f>=HYPERLINK("10.175.1.14\MWEB.12\SEP\MetricGraphs.SEP.10.175.1.14.MWEB.12.xlsx", "&lt;Metrics&gt;")</f>
      </c>
      <c r="Y203" s="0" t="s">
        <v>107</v>
      </c>
      <c r="Z203" s="0" t="s">
        <v>108</v>
      </c>
      <c r="AA203" s="0" t="s">
        <v>134</v>
      </c>
      <c r="AB203" s="0" t="s">
        <v>841</v>
      </c>
      <c r="AC203" s="0" t="s">
        <v>109</v>
      </c>
    </row>
    <row r="204">
      <c r="A204" s="0" t="s">
        <v>28</v>
      </c>
      <c r="B204" s="0" t="s">
        <v>30</v>
      </c>
      <c r="C204" s="0" t="s">
        <v>127</v>
      </c>
      <c r="D204" s="0" t="s">
        <v>535</v>
      </c>
      <c r="E204" s="0" t="s">
        <v>229</v>
      </c>
      <c r="F204" s="0">
        <v>0</v>
      </c>
      <c r="G204" s="0" t="s">
        <v>106</v>
      </c>
      <c r="H204" s="0">
        <v>0</v>
      </c>
      <c r="I204" s="0">
        <v>0</v>
      </c>
      <c r="J204" s="0">
        <v>0</v>
      </c>
      <c r="K204" s="0">
        <v>0</v>
      </c>
      <c r="L204" s="0">
        <v>0</v>
      </c>
      <c r="M204" s="0">
        <v>0</v>
      </c>
      <c r="N204" s="0" t="b">
        <v>0</v>
      </c>
      <c r="O204" s="2">
        <v>44613.583333333336</v>
      </c>
      <c r="P204" s="2">
        <v>44613.625</v>
      </c>
      <c r="Q204" s="2">
        <v>44613.208333333336</v>
      </c>
      <c r="R204" s="2">
        <v>44613.25</v>
      </c>
      <c r="S204" s="0">
        <v>60</v>
      </c>
      <c r="T204" s="0">
        <v>12</v>
      </c>
      <c r="U204" s="0">
        <v>39</v>
      </c>
      <c r="V204" s="0">
        <v>208</v>
      </c>
      <c r="W204" s="1">
        <f>=HYPERLINK("10.175.1.14\MWEB.12\SEP\EntityDetails.10.175.1.14.MWEB.12.-wins-inet.208.xlsx", "&lt;Detail&gt;")</f>
      </c>
      <c r="X204" s="1">
        <f>=HYPERLINK("10.175.1.14\MWEB.12\SEP\MetricGraphs.SEP.10.175.1.14.MWEB.12.xlsx", "&lt;Metrics&gt;")</f>
      </c>
      <c r="Y204" s="0" t="s">
        <v>107</v>
      </c>
      <c r="Z204" s="0" t="s">
        <v>108</v>
      </c>
      <c r="AA204" s="0" t="s">
        <v>128</v>
      </c>
      <c r="AB204" s="0" t="s">
        <v>842</v>
      </c>
      <c r="AC204" s="0" t="s">
        <v>109</v>
      </c>
    </row>
    <row r="205">
      <c r="A205" s="0" t="s">
        <v>28</v>
      </c>
      <c r="B205" s="0" t="s">
        <v>30</v>
      </c>
      <c r="C205" s="0" t="s">
        <v>127</v>
      </c>
      <c r="D205" s="0" t="s">
        <v>537</v>
      </c>
      <c r="E205" s="0" t="s">
        <v>229</v>
      </c>
      <c r="F205" s="0">
        <v>0</v>
      </c>
      <c r="G205" s="0" t="s">
        <v>106</v>
      </c>
      <c r="H205" s="0">
        <v>0</v>
      </c>
      <c r="I205" s="0">
        <v>0</v>
      </c>
      <c r="J205" s="0">
        <v>0</v>
      </c>
      <c r="K205" s="0">
        <v>0</v>
      </c>
      <c r="L205" s="0">
        <v>0</v>
      </c>
      <c r="M205" s="0">
        <v>0</v>
      </c>
      <c r="N205" s="0" t="b">
        <v>0</v>
      </c>
      <c r="O205" s="2">
        <v>44613.583333333336</v>
      </c>
      <c r="P205" s="2">
        <v>44613.625</v>
      </c>
      <c r="Q205" s="2">
        <v>44613.208333333336</v>
      </c>
      <c r="R205" s="2">
        <v>44613.25</v>
      </c>
      <c r="S205" s="0">
        <v>60</v>
      </c>
      <c r="T205" s="0">
        <v>12</v>
      </c>
      <c r="U205" s="0">
        <v>39</v>
      </c>
      <c r="V205" s="0">
        <v>129</v>
      </c>
      <c r="W205" s="1">
        <f>=HYPERLINK("10.175.1.14\MWEB.12\SEP\EntityDetails.10.175.1.14.MWEB.12.-wins-inquir.129.xlsx", "&lt;Detail&gt;")</f>
      </c>
      <c r="X205" s="1">
        <f>=HYPERLINK("10.175.1.14\MWEB.12\SEP\MetricGraphs.SEP.10.175.1.14.MWEB.12.xlsx", "&lt;Metrics&gt;")</f>
      </c>
      <c r="Y205" s="0" t="s">
        <v>107</v>
      </c>
      <c r="Z205" s="0" t="s">
        <v>108</v>
      </c>
      <c r="AA205" s="0" t="s">
        <v>128</v>
      </c>
      <c r="AB205" s="0" t="s">
        <v>843</v>
      </c>
      <c r="AC205" s="0" t="s">
        <v>109</v>
      </c>
    </row>
    <row r="206">
      <c r="A206" s="0" t="s">
        <v>28</v>
      </c>
      <c r="B206" s="0" t="s">
        <v>30</v>
      </c>
      <c r="C206" s="0" t="s">
        <v>127</v>
      </c>
      <c r="D206" s="0" t="s">
        <v>539</v>
      </c>
      <c r="E206" s="0" t="s">
        <v>229</v>
      </c>
      <c r="F206" s="0">
        <v>0</v>
      </c>
      <c r="G206" s="0" t="s">
        <v>106</v>
      </c>
      <c r="H206" s="0">
        <v>0</v>
      </c>
      <c r="I206" s="0">
        <v>0</v>
      </c>
      <c r="J206" s="0">
        <v>0</v>
      </c>
      <c r="K206" s="0">
        <v>0</v>
      </c>
      <c r="L206" s="0">
        <v>0</v>
      </c>
      <c r="M206" s="0">
        <v>0</v>
      </c>
      <c r="N206" s="0" t="b">
        <v>0</v>
      </c>
      <c r="O206" s="2">
        <v>44613.583333333336</v>
      </c>
      <c r="P206" s="2">
        <v>44613.625</v>
      </c>
      <c r="Q206" s="2">
        <v>44613.208333333336</v>
      </c>
      <c r="R206" s="2">
        <v>44613.25</v>
      </c>
      <c r="S206" s="0">
        <v>60</v>
      </c>
      <c r="T206" s="0">
        <v>12</v>
      </c>
      <c r="U206" s="0">
        <v>39</v>
      </c>
      <c r="V206" s="0">
        <v>126</v>
      </c>
      <c r="W206" s="1">
        <f>=HYPERLINK("10.175.1.14\MWEB.12\SEP\EntityDetails.10.175.1.14.MWEB.12.-wins-login.126.xlsx", "&lt;Detail&gt;")</f>
      </c>
      <c r="X206" s="1">
        <f>=HYPERLINK("10.175.1.14\MWEB.12\SEP\MetricGraphs.SEP.10.175.1.14.MWEB.12.xlsx", "&lt;Metrics&gt;")</f>
      </c>
      <c r="Y206" s="0" t="s">
        <v>107</v>
      </c>
      <c r="Z206" s="0" t="s">
        <v>108</v>
      </c>
      <c r="AA206" s="0" t="s">
        <v>128</v>
      </c>
      <c r="AB206" s="0" t="s">
        <v>844</v>
      </c>
      <c r="AC206" s="0" t="s">
        <v>109</v>
      </c>
    </row>
    <row r="207">
      <c r="A207" s="0" t="s">
        <v>28</v>
      </c>
      <c r="B207" s="0" t="s">
        <v>30</v>
      </c>
      <c r="C207" s="0" t="s">
        <v>149</v>
      </c>
      <c r="D207" s="0" t="s">
        <v>539</v>
      </c>
      <c r="E207" s="0" t="s">
        <v>229</v>
      </c>
      <c r="F207" s="0">
        <v>0</v>
      </c>
      <c r="G207" s="0" t="s">
        <v>106</v>
      </c>
      <c r="H207" s="0">
        <v>0</v>
      </c>
      <c r="I207" s="0">
        <v>0</v>
      </c>
      <c r="J207" s="0">
        <v>0</v>
      </c>
      <c r="K207" s="0">
        <v>0</v>
      </c>
      <c r="L207" s="0">
        <v>0</v>
      </c>
      <c r="M207" s="0">
        <v>0</v>
      </c>
      <c r="N207" s="0" t="b">
        <v>0</v>
      </c>
      <c r="O207" s="2">
        <v>44613.583333333336</v>
      </c>
      <c r="P207" s="2">
        <v>44613.625</v>
      </c>
      <c r="Q207" s="2">
        <v>44613.208333333336</v>
      </c>
      <c r="R207" s="2">
        <v>44613.25</v>
      </c>
      <c r="S207" s="0">
        <v>60</v>
      </c>
      <c r="T207" s="0">
        <v>12</v>
      </c>
      <c r="U207" s="0">
        <v>50</v>
      </c>
      <c r="V207" s="0">
        <v>2252</v>
      </c>
      <c r="W207" s="1">
        <f>=HYPERLINK("10.175.1.14\MWEB.12\SEP\EntityDetails.10.175.1.14.MWEB.12.-wins-login.2252.xlsx", "&lt;Detail&gt;")</f>
      </c>
      <c r="X207" s="1">
        <f>=HYPERLINK("10.175.1.14\MWEB.12\SEP\MetricGraphs.SEP.10.175.1.14.MWEB.12.xlsx", "&lt;Metrics&gt;")</f>
      </c>
      <c r="Y207" s="0" t="s">
        <v>107</v>
      </c>
      <c r="Z207" s="0" t="s">
        <v>108</v>
      </c>
      <c r="AA207" s="0" t="s">
        <v>150</v>
      </c>
      <c r="AB207" s="0" t="s">
        <v>845</v>
      </c>
      <c r="AC207" s="0" t="s">
        <v>109</v>
      </c>
    </row>
    <row r="208">
      <c r="A208" s="0" t="s">
        <v>28</v>
      </c>
      <c r="B208" s="0" t="s">
        <v>30</v>
      </c>
      <c r="C208" s="0" t="s">
        <v>127</v>
      </c>
      <c r="D208" s="0" t="s">
        <v>541</v>
      </c>
      <c r="E208" s="0" t="s">
        <v>229</v>
      </c>
      <c r="F208" s="0">
        <v>0</v>
      </c>
      <c r="G208" s="0" t="s">
        <v>106</v>
      </c>
      <c r="H208" s="0">
        <v>0</v>
      </c>
      <c r="I208" s="0">
        <v>0</v>
      </c>
      <c r="J208" s="0">
        <v>0</v>
      </c>
      <c r="K208" s="0">
        <v>0</v>
      </c>
      <c r="L208" s="0">
        <v>0</v>
      </c>
      <c r="M208" s="0">
        <v>0</v>
      </c>
      <c r="N208" s="0" t="b">
        <v>0</v>
      </c>
      <c r="O208" s="2">
        <v>44613.583333333336</v>
      </c>
      <c r="P208" s="2">
        <v>44613.625</v>
      </c>
      <c r="Q208" s="2">
        <v>44613.208333333336</v>
      </c>
      <c r="R208" s="2">
        <v>44613.25</v>
      </c>
      <c r="S208" s="0">
        <v>60</v>
      </c>
      <c r="T208" s="0">
        <v>12</v>
      </c>
      <c r="U208" s="0">
        <v>39</v>
      </c>
      <c r="V208" s="0">
        <v>128</v>
      </c>
      <c r="W208" s="1">
        <f>=HYPERLINK("10.175.1.14\MWEB.12\SEP\EntityDetails.10.175.1.14.MWEB.12.-wins-passwo.128.xlsx", "&lt;Detail&gt;")</f>
      </c>
      <c r="X208" s="1">
        <f>=HYPERLINK("10.175.1.14\MWEB.12\SEP\MetricGraphs.SEP.10.175.1.14.MWEB.12.xlsx", "&lt;Metrics&gt;")</f>
      </c>
      <c r="Y208" s="0" t="s">
        <v>107</v>
      </c>
      <c r="Z208" s="0" t="s">
        <v>108</v>
      </c>
      <c r="AA208" s="0" t="s">
        <v>128</v>
      </c>
      <c r="AB208" s="0" t="s">
        <v>846</v>
      </c>
      <c r="AC208" s="0" t="s">
        <v>109</v>
      </c>
    </row>
    <row r="209">
      <c r="A209" s="0" t="s">
        <v>28</v>
      </c>
      <c r="B209" s="0" t="s">
        <v>30</v>
      </c>
      <c r="C209" s="0" t="s">
        <v>127</v>
      </c>
      <c r="D209" s="0" t="s">
        <v>543</v>
      </c>
      <c r="E209" s="0" t="s">
        <v>229</v>
      </c>
      <c r="F209" s="0">
        <v>0</v>
      </c>
      <c r="G209" s="0" t="s">
        <v>106</v>
      </c>
      <c r="H209" s="0">
        <v>0</v>
      </c>
      <c r="I209" s="0">
        <v>0</v>
      </c>
      <c r="J209" s="0">
        <v>0</v>
      </c>
      <c r="K209" s="0">
        <v>0</v>
      </c>
      <c r="L209" s="0">
        <v>0</v>
      </c>
      <c r="M209" s="0">
        <v>0</v>
      </c>
      <c r="N209" s="0" t="b">
        <v>0</v>
      </c>
      <c r="O209" s="2">
        <v>44613.583333333336</v>
      </c>
      <c r="P209" s="2">
        <v>44613.625</v>
      </c>
      <c r="Q209" s="2">
        <v>44613.208333333336</v>
      </c>
      <c r="R209" s="2">
        <v>44613.25</v>
      </c>
      <c r="S209" s="0">
        <v>60</v>
      </c>
      <c r="T209" s="0">
        <v>12</v>
      </c>
      <c r="U209" s="0">
        <v>39</v>
      </c>
      <c r="V209" s="0">
        <v>142</v>
      </c>
      <c r="W209" s="1">
        <f>=HYPERLINK("10.175.1.14\MWEB.12\SEP\EntityDetails.10.175.1.14.MWEB.12.-wins-reques.142.xlsx", "&lt;Detail&gt;")</f>
      </c>
      <c r="X209" s="1">
        <f>=HYPERLINK("10.175.1.14\MWEB.12\SEP\MetricGraphs.SEP.10.175.1.14.MWEB.12.xlsx", "&lt;Metrics&gt;")</f>
      </c>
      <c r="Y209" s="0" t="s">
        <v>107</v>
      </c>
      <c r="Z209" s="0" t="s">
        <v>108</v>
      </c>
      <c r="AA209" s="0" t="s">
        <v>128</v>
      </c>
      <c r="AB209" s="0" t="s">
        <v>847</v>
      </c>
      <c r="AC209" s="0" t="s">
        <v>109</v>
      </c>
    </row>
    <row r="210">
      <c r="A210" s="0" t="s">
        <v>28</v>
      </c>
      <c r="B210" s="0" t="s">
        <v>30</v>
      </c>
      <c r="C210" s="0" t="s">
        <v>127</v>
      </c>
      <c r="D210" s="0" t="s">
        <v>545</v>
      </c>
      <c r="E210" s="0" t="s">
        <v>229</v>
      </c>
      <c r="F210" s="0">
        <v>0</v>
      </c>
      <c r="G210" s="0" t="s">
        <v>106</v>
      </c>
      <c r="H210" s="0">
        <v>0</v>
      </c>
      <c r="I210" s="0">
        <v>0</v>
      </c>
      <c r="J210" s="0">
        <v>0</v>
      </c>
      <c r="K210" s="0">
        <v>0</v>
      </c>
      <c r="L210" s="0">
        <v>0</v>
      </c>
      <c r="M210" s="0">
        <v>0</v>
      </c>
      <c r="N210" s="0" t="b">
        <v>0</v>
      </c>
      <c r="O210" s="2">
        <v>44613.583333333336</v>
      </c>
      <c r="P210" s="2">
        <v>44613.625</v>
      </c>
      <c r="Q210" s="2">
        <v>44613.208333333336</v>
      </c>
      <c r="R210" s="2">
        <v>44613.25</v>
      </c>
      <c r="S210" s="0">
        <v>60</v>
      </c>
      <c r="T210" s="0">
        <v>12</v>
      </c>
      <c r="U210" s="0">
        <v>39</v>
      </c>
      <c r="V210" s="0">
        <v>135</v>
      </c>
      <c r="W210" s="1">
        <f>=HYPERLINK("10.175.1.14\MWEB.12\SEP\EntityDetails.10.175.1.14.MWEB.12.-wins-reset.135.xlsx", "&lt;Detail&gt;")</f>
      </c>
      <c r="X210" s="1">
        <f>=HYPERLINK("10.175.1.14\MWEB.12\SEP\MetricGraphs.SEP.10.175.1.14.MWEB.12.xlsx", "&lt;Metrics&gt;")</f>
      </c>
      <c r="Y210" s="0" t="s">
        <v>107</v>
      </c>
      <c r="Z210" s="0" t="s">
        <v>108</v>
      </c>
      <c r="AA210" s="0" t="s">
        <v>128</v>
      </c>
      <c r="AB210" s="0" t="s">
        <v>848</v>
      </c>
      <c r="AC210" s="0" t="s">
        <v>109</v>
      </c>
    </row>
    <row r="211">
      <c r="A211" s="0" t="s">
        <v>28</v>
      </c>
      <c r="B211" s="0" t="s">
        <v>30</v>
      </c>
      <c r="C211" s="0" t="s">
        <v>127</v>
      </c>
      <c r="D211" s="0" t="s">
        <v>547</v>
      </c>
      <c r="E211" s="0" t="s">
        <v>229</v>
      </c>
      <c r="F211" s="0">
        <v>0</v>
      </c>
      <c r="G211" s="0" t="s">
        <v>106</v>
      </c>
      <c r="H211" s="0">
        <v>0</v>
      </c>
      <c r="I211" s="0">
        <v>0</v>
      </c>
      <c r="J211" s="0">
        <v>0</v>
      </c>
      <c r="K211" s="0">
        <v>0</v>
      </c>
      <c r="L211" s="0">
        <v>0</v>
      </c>
      <c r="M211" s="0">
        <v>0</v>
      </c>
      <c r="N211" s="0" t="b">
        <v>0</v>
      </c>
      <c r="O211" s="2">
        <v>44613.583333333336</v>
      </c>
      <c r="P211" s="2">
        <v>44613.625</v>
      </c>
      <c r="Q211" s="2">
        <v>44613.208333333336</v>
      </c>
      <c r="R211" s="2">
        <v>44613.25</v>
      </c>
      <c r="S211" s="0">
        <v>60</v>
      </c>
      <c r="T211" s="0">
        <v>12</v>
      </c>
      <c r="U211" s="0">
        <v>39</v>
      </c>
      <c r="V211" s="0">
        <v>127</v>
      </c>
      <c r="W211" s="1">
        <f>=HYPERLINK("10.175.1.14\MWEB.12\SEP\EntityDetails.10.175.1.14.MWEB.12.-wins-select.127.xlsx", "&lt;Detail&gt;")</f>
      </c>
      <c r="X211" s="1">
        <f>=HYPERLINK("10.175.1.14\MWEB.12\SEP\MetricGraphs.SEP.10.175.1.14.MWEB.12.xlsx", "&lt;Metrics&gt;")</f>
      </c>
      <c r="Y211" s="0" t="s">
        <v>107</v>
      </c>
      <c r="Z211" s="0" t="s">
        <v>108</v>
      </c>
      <c r="AA211" s="0" t="s">
        <v>128</v>
      </c>
      <c r="AB211" s="0" t="s">
        <v>849</v>
      </c>
      <c r="AC211" s="0" t="s">
        <v>109</v>
      </c>
    </row>
    <row r="212">
      <c r="A212" s="0" t="s">
        <v>28</v>
      </c>
      <c r="B212" s="0" t="s">
        <v>30</v>
      </c>
      <c r="C212" s="0" t="s">
        <v>127</v>
      </c>
      <c r="D212" s="0" t="s">
        <v>850</v>
      </c>
      <c r="E212" s="0" t="s">
        <v>229</v>
      </c>
      <c r="F212" s="0">
        <v>0</v>
      </c>
      <c r="G212" s="0" t="s">
        <v>106</v>
      </c>
      <c r="H212" s="0">
        <v>0</v>
      </c>
      <c r="I212" s="0">
        <v>0</v>
      </c>
      <c r="J212" s="0">
        <v>0</v>
      </c>
      <c r="K212" s="0">
        <v>0</v>
      </c>
      <c r="L212" s="0">
        <v>0</v>
      </c>
      <c r="M212" s="0">
        <v>0</v>
      </c>
      <c r="N212" s="0" t="b">
        <v>0</v>
      </c>
      <c r="O212" s="2">
        <v>44613.583333333336</v>
      </c>
      <c r="P212" s="2">
        <v>44613.625</v>
      </c>
      <c r="Q212" s="2">
        <v>44613.208333333336</v>
      </c>
      <c r="R212" s="2">
        <v>44613.25</v>
      </c>
      <c r="S212" s="0">
        <v>60</v>
      </c>
      <c r="T212" s="0">
        <v>12</v>
      </c>
      <c r="U212" s="0">
        <v>39</v>
      </c>
      <c r="V212" s="0">
        <v>141</v>
      </c>
      <c r="W212" s="1">
        <f>=HYPERLINK("10.175.1.14\MWEB.12\SEP\EntityDetails.10.175.1.14.MWEB.12.-wins-System.141.xlsx", "&lt;Detail&gt;")</f>
      </c>
      <c r="X212" s="1">
        <f>=HYPERLINK("10.175.1.14\MWEB.12\SEP\MetricGraphs.SEP.10.175.1.14.MWEB.12.xlsx", "&lt;Metrics&gt;")</f>
      </c>
      <c r="Y212" s="0" t="s">
        <v>107</v>
      </c>
      <c r="Z212" s="0" t="s">
        <v>108</v>
      </c>
      <c r="AA212" s="0" t="s">
        <v>128</v>
      </c>
      <c r="AB212" s="0" t="s">
        <v>851</v>
      </c>
      <c r="AC212" s="0" t="s">
        <v>109</v>
      </c>
    </row>
    <row r="213">
      <c r="A213" s="0" t="s">
        <v>28</v>
      </c>
      <c r="B213" s="0" t="s">
        <v>30</v>
      </c>
      <c r="C213" s="0" t="s">
        <v>127</v>
      </c>
      <c r="D213" s="0" t="s">
        <v>549</v>
      </c>
      <c r="E213" s="0" t="s">
        <v>229</v>
      </c>
      <c r="F213" s="0">
        <v>0</v>
      </c>
      <c r="G213" s="0" t="s">
        <v>106</v>
      </c>
      <c r="H213" s="0">
        <v>0</v>
      </c>
      <c r="I213" s="0">
        <v>0</v>
      </c>
      <c r="J213" s="0">
        <v>0</v>
      </c>
      <c r="K213" s="0">
        <v>0</v>
      </c>
      <c r="L213" s="0">
        <v>0</v>
      </c>
      <c r="M213" s="0">
        <v>0</v>
      </c>
      <c r="N213" s="0" t="b">
        <v>0</v>
      </c>
      <c r="O213" s="2">
        <v>44613.583333333336</v>
      </c>
      <c r="P213" s="2">
        <v>44613.625</v>
      </c>
      <c r="Q213" s="2">
        <v>44613.208333333336</v>
      </c>
      <c r="R213" s="2">
        <v>44613.25</v>
      </c>
      <c r="S213" s="0">
        <v>60</v>
      </c>
      <c r="T213" s="0">
        <v>12</v>
      </c>
      <c r="U213" s="0">
        <v>39</v>
      </c>
      <c r="V213" s="0">
        <v>156</v>
      </c>
      <c r="W213" s="1">
        <f>=HYPERLINK("10.175.1.14\MWEB.12\SEP\EntityDetails.10.175.1.14.MWEB.12.-wins-userad.156.xlsx", "&lt;Detail&gt;")</f>
      </c>
      <c r="X213" s="1">
        <f>=HYPERLINK("10.175.1.14\MWEB.12\SEP\MetricGraphs.SEP.10.175.1.14.MWEB.12.xlsx", "&lt;Metrics&gt;")</f>
      </c>
      <c r="Y213" s="0" t="s">
        <v>107</v>
      </c>
      <c r="Z213" s="0" t="s">
        <v>108</v>
      </c>
      <c r="AA213" s="0" t="s">
        <v>128</v>
      </c>
      <c r="AB213" s="0" t="s">
        <v>852</v>
      </c>
      <c r="AC213" s="0" t="s">
        <v>109</v>
      </c>
    </row>
    <row r="214">
      <c r="A214" s="0" t="s">
        <v>28</v>
      </c>
      <c r="B214" s="0" t="s">
        <v>30</v>
      </c>
      <c r="C214" s="0" t="s">
        <v>127</v>
      </c>
      <c r="D214" s="0" t="s">
        <v>551</v>
      </c>
      <c r="E214" s="0" t="s">
        <v>229</v>
      </c>
      <c r="F214" s="0">
        <v>0</v>
      </c>
      <c r="G214" s="0" t="s">
        <v>106</v>
      </c>
      <c r="H214" s="0">
        <v>0</v>
      </c>
      <c r="I214" s="0">
        <v>0</v>
      </c>
      <c r="J214" s="0">
        <v>0</v>
      </c>
      <c r="K214" s="0">
        <v>0</v>
      </c>
      <c r="L214" s="0">
        <v>0</v>
      </c>
      <c r="M214" s="0">
        <v>0</v>
      </c>
      <c r="N214" s="0" t="b">
        <v>0</v>
      </c>
      <c r="O214" s="2">
        <v>44613.583333333336</v>
      </c>
      <c r="P214" s="2">
        <v>44613.625</v>
      </c>
      <c r="Q214" s="2">
        <v>44613.208333333336</v>
      </c>
      <c r="R214" s="2">
        <v>44613.25</v>
      </c>
      <c r="S214" s="0">
        <v>60</v>
      </c>
      <c r="T214" s="0">
        <v>12</v>
      </c>
      <c r="U214" s="0">
        <v>39</v>
      </c>
      <c r="V214" s="0">
        <v>158</v>
      </c>
      <c r="W214" s="1">
        <f>=HYPERLINK("10.175.1.14\MWEB.12\SEP\EntityDetails.10.175.1.14.MWEB.12.-wins-userch.158.xlsx", "&lt;Detail&gt;")</f>
      </c>
      <c r="X214" s="1">
        <f>=HYPERLINK("10.175.1.14\MWEB.12\SEP\MetricGraphs.SEP.10.175.1.14.MWEB.12.xlsx", "&lt;Metrics&gt;")</f>
      </c>
      <c r="Y214" s="0" t="s">
        <v>107</v>
      </c>
      <c r="Z214" s="0" t="s">
        <v>108</v>
      </c>
      <c r="AA214" s="0" t="s">
        <v>128</v>
      </c>
      <c r="AB214" s="0" t="s">
        <v>853</v>
      </c>
      <c r="AC214" s="0" t="s">
        <v>109</v>
      </c>
    </row>
    <row r="215">
      <c r="A215" s="0" t="s">
        <v>28</v>
      </c>
      <c r="B215" s="0" t="s">
        <v>30</v>
      </c>
      <c r="C215" s="0" t="s">
        <v>127</v>
      </c>
      <c r="D215" s="0" t="s">
        <v>553</v>
      </c>
      <c r="E215" s="0" t="s">
        <v>229</v>
      </c>
      <c r="F215" s="0">
        <v>0</v>
      </c>
      <c r="G215" s="0" t="s">
        <v>106</v>
      </c>
      <c r="H215" s="0">
        <v>0</v>
      </c>
      <c r="I215" s="0">
        <v>0</v>
      </c>
      <c r="J215" s="0">
        <v>0</v>
      </c>
      <c r="K215" s="0">
        <v>0</v>
      </c>
      <c r="L215" s="0">
        <v>0</v>
      </c>
      <c r="M215" s="0">
        <v>0</v>
      </c>
      <c r="N215" s="0" t="b">
        <v>0</v>
      </c>
      <c r="O215" s="2">
        <v>44613.583333333336</v>
      </c>
      <c r="P215" s="2">
        <v>44613.625</v>
      </c>
      <c r="Q215" s="2">
        <v>44613.208333333336</v>
      </c>
      <c r="R215" s="2">
        <v>44613.25</v>
      </c>
      <c r="S215" s="0">
        <v>60</v>
      </c>
      <c r="T215" s="0">
        <v>12</v>
      </c>
      <c r="U215" s="0">
        <v>39</v>
      </c>
      <c r="V215" s="0">
        <v>157</v>
      </c>
      <c r="W215" s="1">
        <f>=HYPERLINK("10.175.1.14\MWEB.12\SEP\EntityDetails.10.175.1.14.MWEB.12.-wins-userde.157.xlsx", "&lt;Detail&gt;")</f>
      </c>
      <c r="X215" s="1">
        <f>=HYPERLINK("10.175.1.14\MWEB.12\SEP\MetricGraphs.SEP.10.175.1.14.MWEB.12.xlsx", "&lt;Metrics&gt;")</f>
      </c>
      <c r="Y215" s="0" t="s">
        <v>107</v>
      </c>
      <c r="Z215" s="0" t="s">
        <v>108</v>
      </c>
      <c r="AA215" s="0" t="s">
        <v>128</v>
      </c>
      <c r="AB215" s="0" t="s">
        <v>854</v>
      </c>
      <c r="AC215" s="0" t="s">
        <v>109</v>
      </c>
    </row>
    <row r="216">
      <c r="A216" s="0" t="s">
        <v>28</v>
      </c>
      <c r="B216" s="0" t="s">
        <v>30</v>
      </c>
      <c r="C216" s="0" t="s">
        <v>127</v>
      </c>
      <c r="D216" s="0" t="s">
        <v>555</v>
      </c>
      <c r="E216" s="0" t="s">
        <v>229</v>
      </c>
      <c r="F216" s="0">
        <v>0</v>
      </c>
      <c r="G216" s="0" t="s">
        <v>106</v>
      </c>
      <c r="H216" s="0">
        <v>0</v>
      </c>
      <c r="I216" s="0">
        <v>0</v>
      </c>
      <c r="J216" s="0">
        <v>0</v>
      </c>
      <c r="K216" s="0">
        <v>0</v>
      </c>
      <c r="L216" s="0">
        <v>0</v>
      </c>
      <c r="M216" s="0">
        <v>0</v>
      </c>
      <c r="N216" s="0" t="b">
        <v>0</v>
      </c>
      <c r="O216" s="2">
        <v>44613.583333333336</v>
      </c>
      <c r="P216" s="2">
        <v>44613.625</v>
      </c>
      <c r="Q216" s="2">
        <v>44613.208333333336</v>
      </c>
      <c r="R216" s="2">
        <v>44613.25</v>
      </c>
      <c r="S216" s="0">
        <v>60</v>
      </c>
      <c r="T216" s="0">
        <v>12</v>
      </c>
      <c r="U216" s="0">
        <v>39</v>
      </c>
      <c r="V216" s="0">
        <v>125</v>
      </c>
      <c r="W216" s="1">
        <f>=HYPERLINK("10.175.1.14\MWEB.12\SEP\EntityDetails.10.175.1.14.MWEB.12.-wins-WEB-IN.125.xlsx", "&lt;Detail&gt;")</f>
      </c>
      <c r="X216" s="1">
        <f>=HYPERLINK("10.175.1.14\MWEB.12\SEP\MetricGraphs.SEP.10.175.1.14.MWEB.12.xlsx", "&lt;Metrics&gt;")</f>
      </c>
      <c r="Y216" s="0" t="s">
        <v>107</v>
      </c>
      <c r="Z216" s="0" t="s">
        <v>108</v>
      </c>
      <c r="AA216" s="0" t="s">
        <v>128</v>
      </c>
      <c r="AB216" s="0" t="s">
        <v>855</v>
      </c>
      <c r="AC216" s="0" t="s">
        <v>109</v>
      </c>
    </row>
    <row r="217">
      <c r="A217" s="0" t="s">
        <v>28</v>
      </c>
      <c r="B217" s="0" t="s">
        <v>30</v>
      </c>
      <c r="C217" s="0" t="s">
        <v>149</v>
      </c>
      <c r="D217" s="0" t="s">
        <v>555</v>
      </c>
      <c r="E217" s="0" t="s">
        <v>229</v>
      </c>
      <c r="F217" s="0">
        <v>0</v>
      </c>
      <c r="G217" s="0" t="s">
        <v>106</v>
      </c>
      <c r="H217" s="0">
        <v>0</v>
      </c>
      <c r="I217" s="0">
        <v>0</v>
      </c>
      <c r="J217" s="0">
        <v>0</v>
      </c>
      <c r="K217" s="0">
        <v>0</v>
      </c>
      <c r="L217" s="0">
        <v>0</v>
      </c>
      <c r="M217" s="0">
        <v>0</v>
      </c>
      <c r="N217" s="0" t="b">
        <v>0</v>
      </c>
      <c r="O217" s="2">
        <v>44613.583333333336</v>
      </c>
      <c r="P217" s="2">
        <v>44613.625</v>
      </c>
      <c r="Q217" s="2">
        <v>44613.208333333336</v>
      </c>
      <c r="R217" s="2">
        <v>44613.25</v>
      </c>
      <c r="S217" s="0">
        <v>60</v>
      </c>
      <c r="T217" s="0">
        <v>12</v>
      </c>
      <c r="U217" s="0">
        <v>50</v>
      </c>
      <c r="V217" s="0">
        <v>2251</v>
      </c>
      <c r="W217" s="1">
        <f>=HYPERLINK("10.175.1.14\MWEB.12\SEP\EntityDetails.10.175.1.14.MWEB.12.-wins-WEB-IN.2251.xlsx", "&lt;Detail&gt;")</f>
      </c>
      <c r="X217" s="1">
        <f>=HYPERLINK("10.175.1.14\MWEB.12\SEP\MetricGraphs.SEP.10.175.1.14.MWEB.12.xlsx", "&lt;Metrics&gt;")</f>
      </c>
      <c r="Y217" s="0" t="s">
        <v>107</v>
      </c>
      <c r="Z217" s="0" t="s">
        <v>108</v>
      </c>
      <c r="AA217" s="0" t="s">
        <v>150</v>
      </c>
      <c r="AB217" s="0" t="s">
        <v>856</v>
      </c>
      <c r="AC217" s="0" t="s">
        <v>109</v>
      </c>
    </row>
    <row r="218">
      <c r="A218" s="0" t="s">
        <v>28</v>
      </c>
      <c r="B218" s="0" t="s">
        <v>30</v>
      </c>
      <c r="C218" s="0" t="s">
        <v>133</v>
      </c>
      <c r="D218" s="0" t="s">
        <v>857</v>
      </c>
      <c r="E218" s="0" t="s">
        <v>229</v>
      </c>
      <c r="F218" s="0">
        <v>0</v>
      </c>
      <c r="G218" s="0" t="s">
        <v>106</v>
      </c>
      <c r="H218" s="0">
        <v>0</v>
      </c>
      <c r="I218" s="0">
        <v>0</v>
      </c>
      <c r="J218" s="0">
        <v>0</v>
      </c>
      <c r="K218" s="0">
        <v>0</v>
      </c>
      <c r="L218" s="0">
        <v>0</v>
      </c>
      <c r="M218" s="0">
        <v>0</v>
      </c>
      <c r="N218" s="0" t="b">
        <v>0</v>
      </c>
      <c r="O218" s="2">
        <v>44613.583333333336</v>
      </c>
      <c r="P218" s="2">
        <v>44613.625</v>
      </c>
      <c r="Q218" s="2">
        <v>44613.208333333336</v>
      </c>
      <c r="R218" s="2">
        <v>44613.25</v>
      </c>
      <c r="S218" s="0">
        <v>60</v>
      </c>
      <c r="T218" s="0">
        <v>12</v>
      </c>
      <c r="U218" s="0">
        <v>36</v>
      </c>
      <c r="V218" s="0">
        <v>1244</v>
      </c>
      <c r="W218" s="1">
        <f>=HYPERLINK("10.175.1.14\MWEB.12\SEP\EntityDetails.10.175.1.14.MWEB.12.-zenworks-js.1244.xlsx", "&lt;Detail&gt;")</f>
      </c>
      <c r="X218" s="1">
        <f>=HYPERLINK("10.175.1.14\MWEB.12\SEP\MetricGraphs.SEP.10.175.1.14.MWEB.12.xlsx", "&lt;Metrics&gt;")</f>
      </c>
      <c r="Y218" s="0" t="s">
        <v>107</v>
      </c>
      <c r="Z218" s="0" t="s">
        <v>108</v>
      </c>
      <c r="AA218" s="0" t="s">
        <v>134</v>
      </c>
      <c r="AB218" s="0" t="s">
        <v>858</v>
      </c>
      <c r="AC218" s="0" t="s">
        <v>109</v>
      </c>
    </row>
    <row r="219">
      <c r="A219" s="0" t="s">
        <v>28</v>
      </c>
      <c r="B219" s="0" t="s">
        <v>30</v>
      </c>
      <c r="C219" s="0" t="s">
        <v>125</v>
      </c>
      <c r="D219" s="0" t="s">
        <v>859</v>
      </c>
      <c r="E219" s="0" t="s">
        <v>860</v>
      </c>
      <c r="F219" s="0">
        <v>0</v>
      </c>
      <c r="G219" s="0" t="s">
        <v>106</v>
      </c>
      <c r="H219" s="0">
        <v>0</v>
      </c>
      <c r="I219" s="0">
        <v>0</v>
      </c>
      <c r="J219" s="0">
        <v>0</v>
      </c>
      <c r="K219" s="0">
        <v>0</v>
      </c>
      <c r="L219" s="0">
        <v>0</v>
      </c>
      <c r="M219" s="0">
        <v>0</v>
      </c>
      <c r="N219" s="0" t="b">
        <v>0</v>
      </c>
      <c r="O219" s="2">
        <v>44613.583333333336</v>
      </c>
      <c r="P219" s="2">
        <v>44613.625</v>
      </c>
      <c r="Q219" s="2">
        <v>44613.208333333336</v>
      </c>
      <c r="R219" s="2">
        <v>44613.25</v>
      </c>
      <c r="S219" s="0">
        <v>60</v>
      </c>
      <c r="T219" s="0">
        <v>12</v>
      </c>
      <c r="U219" s="0">
        <v>42</v>
      </c>
      <c r="V219" s="0">
        <v>193</v>
      </c>
      <c r="W219" s="1">
        <f>=HYPERLINK("10.175.1.14\MWEB.12\SEP\EntityDetails.10.175.1.14.MWEB.12.CommThread.193.xlsx", "&lt;Detail&gt;")</f>
      </c>
      <c r="X219" s="1">
        <f>=HYPERLINK("10.175.1.14\MWEB.12\SEP\MetricGraphs.SEP.10.175.1.14.MWEB.12.xlsx", "&lt;Metrics&gt;")</f>
      </c>
      <c r="Y219" s="0" t="s">
        <v>107</v>
      </c>
      <c r="Z219" s="0" t="s">
        <v>108</v>
      </c>
      <c r="AA219" s="0" t="s">
        <v>126</v>
      </c>
      <c r="AB219" s="0" t="s">
        <v>861</v>
      </c>
      <c r="AC219" s="0" t="s">
        <v>109</v>
      </c>
    </row>
    <row r="220">
      <c r="A220" s="0" t="s">
        <v>28</v>
      </c>
      <c r="B220" s="0" t="s">
        <v>30</v>
      </c>
      <c r="C220" s="0" t="s">
        <v>125</v>
      </c>
      <c r="D220" s="0" t="s">
        <v>862</v>
      </c>
      <c r="E220" s="0" t="s">
        <v>860</v>
      </c>
      <c r="F220" s="0">
        <v>0</v>
      </c>
      <c r="G220" s="0" t="s">
        <v>106</v>
      </c>
      <c r="H220" s="0">
        <v>0</v>
      </c>
      <c r="I220" s="0">
        <v>0</v>
      </c>
      <c r="J220" s="0">
        <v>0</v>
      </c>
      <c r="K220" s="0">
        <v>0</v>
      </c>
      <c r="L220" s="0">
        <v>0</v>
      </c>
      <c r="M220" s="0">
        <v>0</v>
      </c>
      <c r="N220" s="0" t="b">
        <v>0</v>
      </c>
      <c r="O220" s="2">
        <v>44613.583333333336</v>
      </c>
      <c r="P220" s="2">
        <v>44613.625</v>
      </c>
      <c r="Q220" s="2">
        <v>44613.208333333336</v>
      </c>
      <c r="R220" s="2">
        <v>44613.25</v>
      </c>
      <c r="S220" s="0">
        <v>60</v>
      </c>
      <c r="T220" s="0">
        <v>12</v>
      </c>
      <c r="U220" s="0">
        <v>42</v>
      </c>
      <c r="V220" s="0">
        <v>223</v>
      </c>
      <c r="W220" s="1">
        <f>=HYPERLINK("10.175.1.14\MWEB.12\SEP\EntityDetails.10.175.1.14.MWEB.12.ServiceProce.223.xlsx", "&lt;Detail&gt;")</f>
      </c>
      <c r="X220" s="1">
        <f>=HYPERLINK("10.175.1.14\MWEB.12\SEP\MetricGraphs.SEP.10.175.1.14.MWEB.12.xlsx", "&lt;Metrics&gt;")</f>
      </c>
      <c r="Y220" s="0" t="s">
        <v>107</v>
      </c>
      <c r="Z220" s="0" t="s">
        <v>108</v>
      </c>
      <c r="AA220" s="0" t="s">
        <v>126</v>
      </c>
      <c r="AB220" s="0" t="s">
        <v>863</v>
      </c>
      <c r="AC220" s="0" t="s">
        <v>109</v>
      </c>
    </row>
    <row r="221">
      <c r="A221" s="0" t="s">
        <v>28</v>
      </c>
      <c r="B221" s="0" t="s">
        <v>30</v>
      </c>
      <c r="C221" s="0" t="s">
        <v>143</v>
      </c>
      <c r="D221" s="0" t="s">
        <v>864</v>
      </c>
      <c r="E221" s="0" t="s">
        <v>205</v>
      </c>
      <c r="F221" s="0">
        <v>0</v>
      </c>
      <c r="G221" s="0" t="s">
        <v>106</v>
      </c>
      <c r="H221" s="0">
        <v>0</v>
      </c>
      <c r="I221" s="0">
        <v>0</v>
      </c>
      <c r="J221" s="0">
        <v>0</v>
      </c>
      <c r="K221" s="0">
        <v>0</v>
      </c>
      <c r="L221" s="0">
        <v>0</v>
      </c>
      <c r="M221" s="0">
        <v>0</v>
      </c>
      <c r="N221" s="0" t="b">
        <v>0</v>
      </c>
      <c r="O221" s="2">
        <v>44613.583333333336</v>
      </c>
      <c r="P221" s="2">
        <v>44613.625</v>
      </c>
      <c r="Q221" s="2">
        <v>44613.208333333336</v>
      </c>
      <c r="R221" s="2">
        <v>44613.25</v>
      </c>
      <c r="S221" s="0">
        <v>60</v>
      </c>
      <c r="T221" s="0">
        <v>12</v>
      </c>
      <c r="U221" s="0">
        <v>43</v>
      </c>
      <c r="V221" s="0">
        <v>436</v>
      </c>
      <c r="W221" s="1">
        <f>=HYPERLINK("10.175.1.14\MWEB.12\SEP\EntityDetails.10.175.1.14.MWEB.12.WlcFgw7Recov.436.xlsx", "&lt;Detail&gt;")</f>
      </c>
      <c r="X221" s="1">
        <f>=HYPERLINK("10.175.1.14\MWEB.12\SEP\MetricGraphs.SEP.10.175.1.14.MWEB.12.xlsx", "&lt;Metrics&gt;")</f>
      </c>
      <c r="Y221" s="0" t="s">
        <v>107</v>
      </c>
      <c r="Z221" s="0" t="s">
        <v>108</v>
      </c>
      <c r="AA221" s="0" t="s">
        <v>144</v>
      </c>
      <c r="AB221" s="0" t="s">
        <v>865</v>
      </c>
      <c r="AC221" s="0" t="s">
        <v>109</v>
      </c>
    </row>
    <row r="222">
      <c r="A222" s="0" t="s">
        <v>28</v>
      </c>
      <c r="B222" s="0" t="s">
        <v>30</v>
      </c>
      <c r="C222" s="0" t="s">
        <v>163</v>
      </c>
      <c r="D222" s="0" t="s">
        <v>864</v>
      </c>
      <c r="E222" s="0" t="s">
        <v>205</v>
      </c>
      <c r="F222" s="0">
        <v>0</v>
      </c>
      <c r="G222" s="0" t="s">
        <v>106</v>
      </c>
      <c r="H222" s="0">
        <v>0</v>
      </c>
      <c r="I222" s="0">
        <v>0</v>
      </c>
      <c r="J222" s="0">
        <v>0</v>
      </c>
      <c r="K222" s="0">
        <v>0</v>
      </c>
      <c r="L222" s="0">
        <v>0</v>
      </c>
      <c r="M222" s="0">
        <v>0</v>
      </c>
      <c r="N222" s="0" t="b">
        <v>0</v>
      </c>
      <c r="O222" s="2">
        <v>44613.583333333336</v>
      </c>
      <c r="P222" s="2">
        <v>44613.625</v>
      </c>
      <c r="Q222" s="2">
        <v>44613.208333333336</v>
      </c>
      <c r="R222" s="2">
        <v>44613.25</v>
      </c>
      <c r="S222" s="0">
        <v>60</v>
      </c>
      <c r="T222" s="0">
        <v>12</v>
      </c>
      <c r="U222" s="0">
        <v>55</v>
      </c>
      <c r="V222" s="0">
        <v>3184</v>
      </c>
      <c r="W222" s="1">
        <f>=HYPERLINK("10.175.1.14\MWEB.12\SEP\EntityDetails.10.175.1.14.MWEB.12.WlcFgw7Recov.3184.xlsx", "&lt;Detail&gt;")</f>
      </c>
      <c r="X222" s="1">
        <f>=HYPERLINK("10.175.1.14\MWEB.12\SEP\MetricGraphs.SEP.10.175.1.14.MWEB.12.xlsx", "&lt;Metrics&gt;")</f>
      </c>
      <c r="Y222" s="0" t="s">
        <v>107</v>
      </c>
      <c r="Z222" s="0" t="s">
        <v>108</v>
      </c>
      <c r="AA222" s="0" t="s">
        <v>164</v>
      </c>
      <c r="AB222" s="0" t="s">
        <v>866</v>
      </c>
      <c r="AC222" s="0" t="s">
        <v>109</v>
      </c>
    </row>
  </sheetData>
  <conditionalFormatting sqref="M5:M222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22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22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22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22.xml><?xml version="1.0" encoding="utf-8"?>
<worksheet xmlns:r="http://schemas.openxmlformats.org/officeDocument/2006/relationships" xmlns="http://schemas.openxmlformats.org/spreadsheetml/2006/main">
  <dimension ref="A1:AC222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5" customWidth="1"/>
    <col min="15" max="15" width="20" customWidth="1"/>
    <col min="16" max="16" width="20" customWidth="1"/>
    <col min="17" max="17" width="20" customWidth="1"/>
    <col min="18" max="18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=HYPERLINK("#'9.SEPs.Perf'!A1",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588</v>
      </c>
      <c r="E4" s="0" t="s">
        <v>589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95</v>
      </c>
      <c r="N4" s="0" t="s">
        <v>96</v>
      </c>
      <c r="O4" s="0" t="s">
        <v>4</v>
      </c>
      <c r="P4" s="0" t="s">
        <v>5</v>
      </c>
      <c r="Q4" s="0" t="s">
        <v>97</v>
      </c>
      <c r="R4" s="0" t="s">
        <v>98</v>
      </c>
      <c r="S4" s="0" t="s">
        <v>99</v>
      </c>
      <c r="T4" s="0" t="s">
        <v>26</v>
      </c>
      <c r="U4" s="0" t="s">
        <v>118</v>
      </c>
      <c r="V4" s="0" t="s">
        <v>590</v>
      </c>
      <c r="W4" s="0" t="s">
        <v>100</v>
      </c>
      <c r="X4" s="0" t="s">
        <v>101</v>
      </c>
      <c r="Y4" s="0" t="s">
        <v>78</v>
      </c>
      <c r="Z4" s="0" t="s">
        <v>104</v>
      </c>
      <c r="AA4" s="0" t="s">
        <v>119</v>
      </c>
      <c r="AB4" s="0" t="s">
        <v>591</v>
      </c>
      <c r="AC4" s="0" t="s">
        <v>105</v>
      </c>
    </row>
    <row r="5">
      <c r="A5" s="0" t="s">
        <v>28</v>
      </c>
      <c r="B5" s="0" t="s">
        <v>30</v>
      </c>
      <c r="C5" s="0" t="s">
        <v>125</v>
      </c>
      <c r="D5" s="0" t="s">
        <v>225</v>
      </c>
      <c r="E5" s="0" t="s">
        <v>226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 t="b">
        <v>0</v>
      </c>
      <c r="O5" s="2">
        <v>44613.583333333336</v>
      </c>
      <c r="P5" s="2">
        <v>44613.625</v>
      </c>
      <c r="Q5" s="2">
        <v>44613.208333333336</v>
      </c>
      <c r="R5" s="2">
        <v>44613.25</v>
      </c>
      <c r="S5" s="0">
        <v>60</v>
      </c>
      <c r="T5" s="0">
        <v>12</v>
      </c>
      <c r="U5" s="0">
        <v>42</v>
      </c>
      <c r="V5" s="0">
        <v>149</v>
      </c>
      <c r="W5" s="1">
        <f>=HYPERLINK("10.175.1.14\MWEB.12\SEP\EntityDetails.10.175.1.14.MWEB.12.-.POST.149.xlsx", "&lt;Detail&gt;")</f>
      </c>
      <c r="X5" s="1">
        <f>=HYPERLINK("10.175.1.14\MWEB.12\SEP\MetricGraphs.SEP.10.175.1.14.MWEB.12.xlsx", "&lt;Metrics&gt;")</f>
      </c>
      <c r="Y5" s="0" t="s">
        <v>107</v>
      </c>
      <c r="Z5" s="0" t="s">
        <v>108</v>
      </c>
      <c r="AA5" s="0" t="s">
        <v>126</v>
      </c>
      <c r="AB5" s="0" t="s">
        <v>592</v>
      </c>
      <c r="AC5" s="0" t="s">
        <v>109</v>
      </c>
    </row>
    <row r="6">
      <c r="A6" s="0" t="s">
        <v>28</v>
      </c>
      <c r="B6" s="0" t="s">
        <v>30</v>
      </c>
      <c r="C6" s="0" t="s">
        <v>127</v>
      </c>
      <c r="D6" s="0" t="s">
        <v>225</v>
      </c>
      <c r="E6" s="0" t="s">
        <v>226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 t="b">
        <v>0</v>
      </c>
      <c r="O6" s="2">
        <v>44613.583333333336</v>
      </c>
      <c r="P6" s="2">
        <v>44613.625</v>
      </c>
      <c r="Q6" s="2">
        <v>44613.208333333336</v>
      </c>
      <c r="R6" s="2">
        <v>44613.25</v>
      </c>
      <c r="S6" s="0">
        <v>60</v>
      </c>
      <c r="T6" s="0">
        <v>12</v>
      </c>
      <c r="U6" s="0">
        <v>39</v>
      </c>
      <c r="V6" s="0">
        <v>103</v>
      </c>
      <c r="W6" s="1">
        <f>=HYPERLINK("10.175.1.14\MWEB.12\SEP\EntityDetails.10.175.1.14.MWEB.12.-.POST.103.xlsx", "&lt;Detail&gt;")</f>
      </c>
      <c r="X6" s="1">
        <f>=HYPERLINK("10.175.1.14\MWEB.12\SEP\MetricGraphs.SEP.10.175.1.14.MWEB.12.xlsx", "&lt;Metrics&gt;")</f>
      </c>
      <c r="Y6" s="0" t="s">
        <v>107</v>
      </c>
      <c r="Z6" s="0" t="s">
        <v>108</v>
      </c>
      <c r="AA6" s="0" t="s">
        <v>128</v>
      </c>
      <c r="AB6" s="0" t="s">
        <v>593</v>
      </c>
      <c r="AC6" s="0" t="s">
        <v>109</v>
      </c>
    </row>
    <row r="7">
      <c r="A7" s="0" t="s">
        <v>28</v>
      </c>
      <c r="B7" s="0" t="s">
        <v>30</v>
      </c>
      <c r="C7" s="0" t="s">
        <v>129</v>
      </c>
      <c r="D7" s="0" t="s">
        <v>225</v>
      </c>
      <c r="E7" s="0" t="s">
        <v>226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 t="b">
        <v>0</v>
      </c>
      <c r="O7" s="2">
        <v>44613.583333333336</v>
      </c>
      <c r="P7" s="2">
        <v>44613.625</v>
      </c>
      <c r="Q7" s="2">
        <v>44613.208333333336</v>
      </c>
      <c r="R7" s="2">
        <v>44613.25</v>
      </c>
      <c r="S7" s="0">
        <v>60</v>
      </c>
      <c r="T7" s="0">
        <v>12</v>
      </c>
      <c r="U7" s="0">
        <v>41</v>
      </c>
      <c r="V7" s="0">
        <v>352</v>
      </c>
      <c r="W7" s="1">
        <f>=HYPERLINK("10.175.1.14\MWEB.12\SEP\EntityDetails.10.175.1.14.MWEB.12.-.POST.352.xlsx", "&lt;Detail&gt;")</f>
      </c>
      <c r="X7" s="1">
        <f>=HYPERLINK("10.175.1.14\MWEB.12\SEP\MetricGraphs.SEP.10.175.1.14.MWEB.12.xlsx", "&lt;Metrics&gt;")</f>
      </c>
      <c r="Y7" s="0" t="s">
        <v>107</v>
      </c>
      <c r="Z7" s="0" t="s">
        <v>108</v>
      </c>
      <c r="AA7" s="0" t="s">
        <v>130</v>
      </c>
      <c r="AB7" s="0" t="s">
        <v>594</v>
      </c>
      <c r="AC7" s="0" t="s">
        <v>109</v>
      </c>
    </row>
    <row r="8">
      <c r="A8" s="0" t="s">
        <v>28</v>
      </c>
      <c r="B8" s="0" t="s">
        <v>30</v>
      </c>
      <c r="C8" s="0" t="s">
        <v>131</v>
      </c>
      <c r="D8" s="0" t="s">
        <v>225</v>
      </c>
      <c r="E8" s="0" t="s">
        <v>226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 t="b">
        <v>0</v>
      </c>
      <c r="O8" s="2">
        <v>44613.583333333336</v>
      </c>
      <c r="P8" s="2">
        <v>44613.625</v>
      </c>
      <c r="Q8" s="2">
        <v>44613.208333333336</v>
      </c>
      <c r="R8" s="2">
        <v>44613.25</v>
      </c>
      <c r="S8" s="0">
        <v>60</v>
      </c>
      <c r="T8" s="0">
        <v>12</v>
      </c>
      <c r="U8" s="0">
        <v>40</v>
      </c>
      <c r="V8" s="0">
        <v>357</v>
      </c>
      <c r="W8" s="1">
        <f>=HYPERLINK("10.175.1.14\MWEB.12\SEP\EntityDetails.10.175.1.14.MWEB.12.-.POST.357.xlsx", "&lt;Detail&gt;")</f>
      </c>
      <c r="X8" s="1">
        <f>=HYPERLINK("10.175.1.14\MWEB.12\SEP\MetricGraphs.SEP.10.175.1.14.MWEB.12.xlsx", "&lt;Metrics&gt;")</f>
      </c>
      <c r="Y8" s="0" t="s">
        <v>107</v>
      </c>
      <c r="Z8" s="0" t="s">
        <v>108</v>
      </c>
      <c r="AA8" s="0" t="s">
        <v>132</v>
      </c>
      <c r="AB8" s="0" t="s">
        <v>595</v>
      </c>
      <c r="AC8" s="0" t="s">
        <v>109</v>
      </c>
    </row>
    <row r="9">
      <c r="A9" s="0" t="s">
        <v>28</v>
      </c>
      <c r="B9" s="0" t="s">
        <v>30</v>
      </c>
      <c r="C9" s="0" t="s">
        <v>133</v>
      </c>
      <c r="D9" s="0" t="s">
        <v>225</v>
      </c>
      <c r="E9" s="0" t="s">
        <v>226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 t="b">
        <v>0</v>
      </c>
      <c r="O9" s="2">
        <v>44613.583333333336</v>
      </c>
      <c r="P9" s="2">
        <v>44613.625</v>
      </c>
      <c r="Q9" s="2">
        <v>44613.208333333336</v>
      </c>
      <c r="R9" s="2">
        <v>44613.25</v>
      </c>
      <c r="S9" s="0">
        <v>60</v>
      </c>
      <c r="T9" s="0">
        <v>12</v>
      </c>
      <c r="U9" s="0">
        <v>36</v>
      </c>
      <c r="V9" s="0">
        <v>154</v>
      </c>
      <c r="W9" s="1">
        <f>=HYPERLINK("10.175.1.14\MWEB.12\SEP\EntityDetails.10.175.1.14.MWEB.12.-.POST.154.xlsx", "&lt;Detail&gt;")</f>
      </c>
      <c r="X9" s="1">
        <f>=HYPERLINK("10.175.1.14\MWEB.12\SEP\MetricGraphs.SEP.10.175.1.14.MWEB.12.xlsx", "&lt;Metrics&gt;")</f>
      </c>
      <c r="Y9" s="0" t="s">
        <v>107</v>
      </c>
      <c r="Z9" s="0" t="s">
        <v>108</v>
      </c>
      <c r="AA9" s="0" t="s">
        <v>134</v>
      </c>
      <c r="AB9" s="0" t="s">
        <v>596</v>
      </c>
      <c r="AC9" s="0" t="s">
        <v>109</v>
      </c>
    </row>
    <row r="10">
      <c r="A10" s="0" t="s">
        <v>28</v>
      </c>
      <c r="B10" s="0" t="s">
        <v>30</v>
      </c>
      <c r="C10" s="0" t="s">
        <v>135</v>
      </c>
      <c r="D10" s="0" t="s">
        <v>225</v>
      </c>
      <c r="E10" s="0" t="s">
        <v>226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 t="b">
        <v>0</v>
      </c>
      <c r="O10" s="2">
        <v>44613.583333333336</v>
      </c>
      <c r="P10" s="2">
        <v>44613.625</v>
      </c>
      <c r="Q10" s="2">
        <v>44613.208333333336</v>
      </c>
      <c r="R10" s="2">
        <v>44613.25</v>
      </c>
      <c r="S10" s="0">
        <v>60</v>
      </c>
      <c r="T10" s="0">
        <v>12</v>
      </c>
      <c r="U10" s="0">
        <v>37</v>
      </c>
      <c r="V10" s="0">
        <v>276</v>
      </c>
      <c r="W10" s="1">
        <f>=HYPERLINK("10.175.1.14\MWEB.12\SEP\EntityDetails.10.175.1.14.MWEB.12.-.POST.276.xlsx", "&lt;Detail&gt;")</f>
      </c>
      <c r="X10" s="1">
        <f>=HYPERLINK("10.175.1.14\MWEB.12\SEP\MetricGraphs.SEP.10.175.1.14.MWEB.12.xlsx", "&lt;Metrics&gt;")</f>
      </c>
      <c r="Y10" s="0" t="s">
        <v>107</v>
      </c>
      <c r="Z10" s="0" t="s">
        <v>108</v>
      </c>
      <c r="AA10" s="0" t="s">
        <v>136</v>
      </c>
      <c r="AB10" s="0" t="s">
        <v>597</v>
      </c>
      <c r="AC10" s="0" t="s">
        <v>109</v>
      </c>
    </row>
    <row r="11">
      <c r="A11" s="0" t="s">
        <v>28</v>
      </c>
      <c r="B11" s="0" t="s">
        <v>30</v>
      </c>
      <c r="C11" s="0" t="s">
        <v>137</v>
      </c>
      <c r="D11" s="0" t="s">
        <v>225</v>
      </c>
      <c r="E11" s="0" t="s">
        <v>226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 t="b">
        <v>0</v>
      </c>
      <c r="O11" s="2">
        <v>44613.583333333336</v>
      </c>
      <c r="P11" s="2">
        <v>44613.625</v>
      </c>
      <c r="Q11" s="2">
        <v>44613.208333333336</v>
      </c>
      <c r="R11" s="2">
        <v>44613.25</v>
      </c>
      <c r="S11" s="0">
        <v>60</v>
      </c>
      <c r="T11" s="0">
        <v>12</v>
      </c>
      <c r="U11" s="0">
        <v>38</v>
      </c>
      <c r="V11" s="0">
        <v>278</v>
      </c>
      <c r="W11" s="1">
        <f>=HYPERLINK("10.175.1.14\MWEB.12\SEP\EntityDetails.10.175.1.14.MWEB.12.-.POST.278.xlsx", "&lt;Detail&gt;")</f>
      </c>
      <c r="X11" s="1">
        <f>=HYPERLINK("10.175.1.14\MWEB.12\SEP\MetricGraphs.SEP.10.175.1.14.MWEB.12.xlsx", "&lt;Metrics&gt;")</f>
      </c>
      <c r="Y11" s="0" t="s">
        <v>107</v>
      </c>
      <c r="Z11" s="0" t="s">
        <v>108</v>
      </c>
      <c r="AA11" s="0" t="s">
        <v>138</v>
      </c>
      <c r="AB11" s="0" t="s">
        <v>598</v>
      </c>
      <c r="AC11" s="0" t="s">
        <v>109</v>
      </c>
    </row>
    <row r="12">
      <c r="A12" s="0" t="s">
        <v>28</v>
      </c>
      <c r="B12" s="0" t="s">
        <v>30</v>
      </c>
      <c r="C12" s="0" t="s">
        <v>143</v>
      </c>
      <c r="D12" s="0" t="s">
        <v>225</v>
      </c>
      <c r="E12" s="0" t="s">
        <v>226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 t="b">
        <v>0</v>
      </c>
      <c r="O12" s="2">
        <v>44613.583333333336</v>
      </c>
      <c r="P12" s="2">
        <v>44613.625</v>
      </c>
      <c r="Q12" s="2">
        <v>44613.208333333336</v>
      </c>
      <c r="R12" s="2">
        <v>44613.25</v>
      </c>
      <c r="S12" s="0">
        <v>60</v>
      </c>
      <c r="T12" s="0">
        <v>12</v>
      </c>
      <c r="U12" s="0">
        <v>43</v>
      </c>
      <c r="V12" s="0">
        <v>1885</v>
      </c>
      <c r="W12" s="1">
        <f>=HYPERLINK("10.175.1.14\MWEB.12\SEP\EntityDetails.10.175.1.14.MWEB.12.-.POST.1885.xlsx", "&lt;Detail&gt;")</f>
      </c>
      <c r="X12" s="1">
        <f>=HYPERLINK("10.175.1.14\MWEB.12\SEP\MetricGraphs.SEP.10.175.1.14.MWEB.12.xlsx", "&lt;Metrics&gt;")</f>
      </c>
      <c r="Y12" s="0" t="s">
        <v>107</v>
      </c>
      <c r="Z12" s="0" t="s">
        <v>108</v>
      </c>
      <c r="AA12" s="0" t="s">
        <v>144</v>
      </c>
      <c r="AB12" s="0" t="s">
        <v>599</v>
      </c>
      <c r="AC12" s="0" t="s">
        <v>109</v>
      </c>
    </row>
    <row r="13">
      <c r="A13" s="0" t="s">
        <v>28</v>
      </c>
      <c r="B13" s="0" t="s">
        <v>30</v>
      </c>
      <c r="C13" s="0" t="s">
        <v>147</v>
      </c>
      <c r="D13" s="0" t="s">
        <v>225</v>
      </c>
      <c r="E13" s="0" t="s">
        <v>226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 t="b">
        <v>0</v>
      </c>
      <c r="O13" s="2">
        <v>44613.583333333336</v>
      </c>
      <c r="P13" s="2">
        <v>44613.625</v>
      </c>
      <c r="Q13" s="2">
        <v>44613.208333333336</v>
      </c>
      <c r="R13" s="2">
        <v>44613.25</v>
      </c>
      <c r="S13" s="0">
        <v>60</v>
      </c>
      <c r="T13" s="0">
        <v>12</v>
      </c>
      <c r="U13" s="0">
        <v>49</v>
      </c>
      <c r="V13" s="0">
        <v>2058</v>
      </c>
      <c r="W13" s="1">
        <f>=HYPERLINK("10.175.1.14\MWEB.12\SEP\EntityDetails.10.175.1.14.MWEB.12.-.POST.2058.xlsx", "&lt;Detail&gt;")</f>
      </c>
      <c r="X13" s="1">
        <f>=HYPERLINK("10.175.1.14\MWEB.12\SEP\MetricGraphs.SEP.10.175.1.14.MWEB.12.xlsx", "&lt;Metrics&gt;")</f>
      </c>
      <c r="Y13" s="0" t="s">
        <v>107</v>
      </c>
      <c r="Z13" s="0" t="s">
        <v>108</v>
      </c>
      <c r="AA13" s="0" t="s">
        <v>148</v>
      </c>
      <c r="AB13" s="0" t="s">
        <v>600</v>
      </c>
      <c r="AC13" s="0" t="s">
        <v>109</v>
      </c>
    </row>
    <row r="14">
      <c r="A14" s="0" t="s">
        <v>28</v>
      </c>
      <c r="B14" s="0" t="s">
        <v>30</v>
      </c>
      <c r="C14" s="0" t="s">
        <v>149</v>
      </c>
      <c r="D14" s="0" t="s">
        <v>225</v>
      </c>
      <c r="E14" s="0" t="s">
        <v>226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 t="b">
        <v>0</v>
      </c>
      <c r="O14" s="2">
        <v>44613.583333333336</v>
      </c>
      <c r="P14" s="2">
        <v>44613.625</v>
      </c>
      <c r="Q14" s="2">
        <v>44613.208333333336</v>
      </c>
      <c r="R14" s="2">
        <v>44613.25</v>
      </c>
      <c r="S14" s="0">
        <v>60</v>
      </c>
      <c r="T14" s="0">
        <v>12</v>
      </c>
      <c r="U14" s="0">
        <v>50</v>
      </c>
      <c r="V14" s="0">
        <v>2526</v>
      </c>
      <c r="W14" s="1">
        <f>=HYPERLINK("10.175.1.14\MWEB.12\SEP\EntityDetails.10.175.1.14.MWEB.12.-.POST.2526.xlsx", "&lt;Detail&gt;")</f>
      </c>
      <c r="X14" s="1">
        <f>=HYPERLINK("10.175.1.14\MWEB.12\SEP\MetricGraphs.SEP.10.175.1.14.MWEB.12.xlsx", "&lt;Metrics&gt;")</f>
      </c>
      <c r="Y14" s="0" t="s">
        <v>107</v>
      </c>
      <c r="Z14" s="0" t="s">
        <v>108</v>
      </c>
      <c r="AA14" s="0" t="s">
        <v>150</v>
      </c>
      <c r="AB14" s="0" t="s">
        <v>601</v>
      </c>
      <c r="AC14" s="0" t="s">
        <v>109</v>
      </c>
    </row>
    <row r="15">
      <c r="A15" s="0" t="s">
        <v>28</v>
      </c>
      <c r="B15" s="0" t="s">
        <v>30</v>
      </c>
      <c r="C15" s="0" t="s">
        <v>157</v>
      </c>
      <c r="D15" s="0" t="s">
        <v>225</v>
      </c>
      <c r="E15" s="0" t="s">
        <v>226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 t="b">
        <v>0</v>
      </c>
      <c r="O15" s="2">
        <v>44613.583333333336</v>
      </c>
      <c r="P15" s="2">
        <v>44613.625</v>
      </c>
      <c r="Q15" s="2">
        <v>44613.208333333336</v>
      </c>
      <c r="R15" s="2">
        <v>44613.25</v>
      </c>
      <c r="S15" s="0">
        <v>60</v>
      </c>
      <c r="T15" s="0">
        <v>12</v>
      </c>
      <c r="U15" s="0">
        <v>53</v>
      </c>
      <c r="V15" s="0">
        <v>2242</v>
      </c>
      <c r="W15" s="1">
        <f>=HYPERLINK("10.175.1.14\MWEB.12\SEP\EntityDetails.10.175.1.14.MWEB.12.-.POST.2242.xlsx", "&lt;Detail&gt;")</f>
      </c>
      <c r="X15" s="1">
        <f>=HYPERLINK("10.175.1.14\MWEB.12\SEP\MetricGraphs.SEP.10.175.1.14.MWEB.12.xlsx", "&lt;Metrics&gt;")</f>
      </c>
      <c r="Y15" s="0" t="s">
        <v>107</v>
      </c>
      <c r="Z15" s="0" t="s">
        <v>108</v>
      </c>
      <c r="AA15" s="0" t="s">
        <v>158</v>
      </c>
      <c r="AB15" s="0" t="s">
        <v>602</v>
      </c>
      <c r="AC15" s="0" t="s">
        <v>109</v>
      </c>
    </row>
    <row r="16">
      <c r="A16" s="0" t="s">
        <v>28</v>
      </c>
      <c r="B16" s="0" t="s">
        <v>30</v>
      </c>
      <c r="C16" s="0" t="s">
        <v>163</v>
      </c>
      <c r="D16" s="0" t="s">
        <v>225</v>
      </c>
      <c r="E16" s="0" t="s">
        <v>226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 t="b">
        <v>0</v>
      </c>
      <c r="O16" s="2">
        <v>44613.583333333336</v>
      </c>
      <c r="P16" s="2">
        <v>44613.625</v>
      </c>
      <c r="Q16" s="2">
        <v>44613.208333333336</v>
      </c>
      <c r="R16" s="2">
        <v>44613.25</v>
      </c>
      <c r="S16" s="0">
        <v>60</v>
      </c>
      <c r="T16" s="0">
        <v>12</v>
      </c>
      <c r="U16" s="0">
        <v>55</v>
      </c>
      <c r="V16" s="0">
        <v>3177</v>
      </c>
      <c r="W16" s="1">
        <f>=HYPERLINK("10.175.1.14\MWEB.12\SEP\EntityDetails.10.175.1.14.MWEB.12.-.POST.3177.xlsx", "&lt;Detail&gt;")</f>
      </c>
      <c r="X16" s="1">
        <f>=HYPERLINK("10.175.1.14\MWEB.12\SEP\MetricGraphs.SEP.10.175.1.14.MWEB.12.xlsx", "&lt;Metrics&gt;")</f>
      </c>
      <c r="Y16" s="0" t="s">
        <v>107</v>
      </c>
      <c r="Z16" s="0" t="s">
        <v>108</v>
      </c>
      <c r="AA16" s="0" t="s">
        <v>164</v>
      </c>
      <c r="AB16" s="0" t="s">
        <v>603</v>
      </c>
      <c r="AC16" s="0" t="s">
        <v>109</v>
      </c>
    </row>
    <row r="17">
      <c r="A17" s="0" t="s">
        <v>28</v>
      </c>
      <c r="B17" s="0" t="s">
        <v>30</v>
      </c>
      <c r="C17" s="0" t="s">
        <v>133</v>
      </c>
      <c r="D17" s="0" t="s">
        <v>604</v>
      </c>
      <c r="E17" s="0" t="s">
        <v>229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 t="b">
        <v>0</v>
      </c>
      <c r="O17" s="2">
        <v>44613.583333333336</v>
      </c>
      <c r="P17" s="2">
        <v>44613.625</v>
      </c>
      <c r="Q17" s="2">
        <v>44613.208333333336</v>
      </c>
      <c r="R17" s="2">
        <v>44613.25</v>
      </c>
      <c r="S17" s="0">
        <v>60</v>
      </c>
      <c r="T17" s="0">
        <v>12</v>
      </c>
      <c r="U17" s="0">
        <v>36</v>
      </c>
      <c r="V17" s="0">
        <v>1245</v>
      </c>
      <c r="W17" s="1">
        <f>=HYPERLINK("10.175.1.14\MWEB.12\SEP\EntityDetails.10.175.1.14.MWEB.12.-1mnvanfx.js.1245.xlsx", "&lt;Detail&gt;")</f>
      </c>
      <c r="X17" s="1">
        <f>=HYPERLINK("10.175.1.14\MWEB.12\SEP\MetricGraphs.SEP.10.175.1.14.MWEB.12.xlsx", "&lt;Metrics&gt;")</f>
      </c>
      <c r="Y17" s="0" t="s">
        <v>107</v>
      </c>
      <c r="Z17" s="0" t="s">
        <v>108</v>
      </c>
      <c r="AA17" s="0" t="s">
        <v>134</v>
      </c>
      <c r="AB17" s="0" t="s">
        <v>605</v>
      </c>
      <c r="AC17" s="0" t="s">
        <v>109</v>
      </c>
    </row>
    <row r="18">
      <c r="A18" s="0" t="s">
        <v>28</v>
      </c>
      <c r="B18" s="0" t="s">
        <v>30</v>
      </c>
      <c r="C18" s="0" t="s">
        <v>125</v>
      </c>
      <c r="D18" s="0" t="s">
        <v>228</v>
      </c>
      <c r="E18" s="0" t="s">
        <v>229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 t="b">
        <v>0</v>
      </c>
      <c r="O18" s="2">
        <v>44613.583333333336</v>
      </c>
      <c r="P18" s="2">
        <v>44613.625</v>
      </c>
      <c r="Q18" s="2">
        <v>44613.208333333336</v>
      </c>
      <c r="R18" s="2">
        <v>44613.25</v>
      </c>
      <c r="S18" s="0">
        <v>60</v>
      </c>
      <c r="T18" s="0">
        <v>12</v>
      </c>
      <c r="U18" s="0">
        <v>42</v>
      </c>
      <c r="V18" s="0">
        <v>1176</v>
      </c>
      <c r="W18" s="1">
        <f>=HYPERLINK("10.175.1.14\MWEB.12\SEP\EntityDetails.10.175.1.14.MWEB.12.-admin-login.1176.xlsx", "&lt;Detail&gt;")</f>
      </c>
      <c r="X18" s="1">
        <f>=HYPERLINK("10.175.1.14\MWEB.12\SEP\MetricGraphs.SEP.10.175.1.14.MWEB.12.xlsx", "&lt;Metrics&gt;")</f>
      </c>
      <c r="Y18" s="0" t="s">
        <v>107</v>
      </c>
      <c r="Z18" s="0" t="s">
        <v>108</v>
      </c>
      <c r="AA18" s="0" t="s">
        <v>126</v>
      </c>
      <c r="AB18" s="0" t="s">
        <v>606</v>
      </c>
      <c r="AC18" s="0" t="s">
        <v>109</v>
      </c>
    </row>
    <row r="19">
      <c r="A19" s="0" t="s">
        <v>28</v>
      </c>
      <c r="B19" s="0" t="s">
        <v>30</v>
      </c>
      <c r="C19" s="0" t="s">
        <v>127</v>
      </c>
      <c r="D19" s="0" t="s">
        <v>228</v>
      </c>
      <c r="E19" s="0" t="s">
        <v>229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 t="b">
        <v>0</v>
      </c>
      <c r="O19" s="2">
        <v>44613.583333333336</v>
      </c>
      <c r="P19" s="2">
        <v>44613.625</v>
      </c>
      <c r="Q19" s="2">
        <v>44613.208333333336</v>
      </c>
      <c r="R19" s="2">
        <v>44613.25</v>
      </c>
      <c r="S19" s="0">
        <v>60</v>
      </c>
      <c r="T19" s="0">
        <v>12</v>
      </c>
      <c r="U19" s="0">
        <v>39</v>
      </c>
      <c r="V19" s="0">
        <v>1196</v>
      </c>
      <c r="W19" s="1">
        <f>=HYPERLINK("10.175.1.14\MWEB.12\SEP\EntityDetails.10.175.1.14.MWEB.12.-admin-login.1196.xlsx", "&lt;Detail&gt;")</f>
      </c>
      <c r="X19" s="1">
        <f>=HYPERLINK("10.175.1.14\MWEB.12\SEP\MetricGraphs.SEP.10.175.1.14.MWEB.12.xlsx", "&lt;Metrics&gt;")</f>
      </c>
      <c r="Y19" s="0" t="s">
        <v>107</v>
      </c>
      <c r="Z19" s="0" t="s">
        <v>108</v>
      </c>
      <c r="AA19" s="0" t="s">
        <v>128</v>
      </c>
      <c r="AB19" s="0" t="s">
        <v>607</v>
      </c>
      <c r="AC19" s="0" t="s">
        <v>109</v>
      </c>
    </row>
    <row r="20">
      <c r="A20" s="0" t="s">
        <v>28</v>
      </c>
      <c r="B20" s="0" t="s">
        <v>30</v>
      </c>
      <c r="C20" s="0" t="s">
        <v>133</v>
      </c>
      <c r="D20" s="0" t="s">
        <v>228</v>
      </c>
      <c r="E20" s="0" t="s">
        <v>229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 t="b">
        <v>0</v>
      </c>
      <c r="O20" s="2">
        <v>44613.583333333336</v>
      </c>
      <c r="P20" s="2">
        <v>44613.625</v>
      </c>
      <c r="Q20" s="2">
        <v>44613.208333333336</v>
      </c>
      <c r="R20" s="2">
        <v>44613.25</v>
      </c>
      <c r="S20" s="0">
        <v>60</v>
      </c>
      <c r="T20" s="0">
        <v>12</v>
      </c>
      <c r="U20" s="0">
        <v>36</v>
      </c>
      <c r="V20" s="0">
        <v>1223</v>
      </c>
      <c r="W20" s="1">
        <f>=HYPERLINK("10.175.1.14\MWEB.12\SEP\EntityDetails.10.175.1.14.MWEB.12.-admin-login.1223.xlsx", "&lt;Detail&gt;")</f>
      </c>
      <c r="X20" s="1">
        <f>=HYPERLINK("10.175.1.14\MWEB.12\SEP\MetricGraphs.SEP.10.175.1.14.MWEB.12.xlsx", "&lt;Metrics&gt;")</f>
      </c>
      <c r="Y20" s="0" t="s">
        <v>107</v>
      </c>
      <c r="Z20" s="0" t="s">
        <v>108</v>
      </c>
      <c r="AA20" s="0" t="s">
        <v>134</v>
      </c>
      <c r="AB20" s="0" t="s">
        <v>608</v>
      </c>
      <c r="AC20" s="0" t="s">
        <v>109</v>
      </c>
    </row>
    <row r="21">
      <c r="A21" s="0" t="s">
        <v>28</v>
      </c>
      <c r="B21" s="0" t="s">
        <v>30</v>
      </c>
      <c r="C21" s="0" t="s">
        <v>125</v>
      </c>
      <c r="D21" s="0" t="s">
        <v>231</v>
      </c>
      <c r="E21" s="0" t="s">
        <v>229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 t="b">
        <v>0</v>
      </c>
      <c r="O21" s="2">
        <v>44613.583333333336</v>
      </c>
      <c r="P21" s="2">
        <v>44613.625</v>
      </c>
      <c r="Q21" s="2">
        <v>44613.208333333336</v>
      </c>
      <c r="R21" s="2">
        <v>44613.25</v>
      </c>
      <c r="S21" s="0">
        <v>60</v>
      </c>
      <c r="T21" s="0">
        <v>12</v>
      </c>
      <c r="U21" s="0">
        <v>42</v>
      </c>
      <c r="V21" s="0">
        <v>200</v>
      </c>
      <c r="W21" s="1">
        <f>=HYPERLINK("10.175.1.14\MWEB.12\SEP\EntityDetails.10.175.1.14.MWEB.12.-api-login.200.xlsx", "&lt;Detail&gt;")</f>
      </c>
      <c r="X21" s="1">
        <f>=HYPERLINK("10.175.1.14\MWEB.12\SEP\MetricGraphs.SEP.10.175.1.14.MWEB.12.xlsx", "&lt;Metrics&gt;")</f>
      </c>
      <c r="Y21" s="0" t="s">
        <v>107</v>
      </c>
      <c r="Z21" s="0" t="s">
        <v>108</v>
      </c>
      <c r="AA21" s="0" t="s">
        <v>126</v>
      </c>
      <c r="AB21" s="0" t="s">
        <v>609</v>
      </c>
      <c r="AC21" s="0" t="s">
        <v>109</v>
      </c>
    </row>
    <row r="22">
      <c r="A22" s="0" t="s">
        <v>28</v>
      </c>
      <c r="B22" s="0" t="s">
        <v>30</v>
      </c>
      <c r="C22" s="0" t="s">
        <v>125</v>
      </c>
      <c r="D22" s="0" t="s">
        <v>610</v>
      </c>
      <c r="E22" s="0" t="s">
        <v>229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 t="b">
        <v>0</v>
      </c>
      <c r="O22" s="2">
        <v>44613.583333333336</v>
      </c>
      <c r="P22" s="2">
        <v>44613.625</v>
      </c>
      <c r="Q22" s="2">
        <v>44613.208333333336</v>
      </c>
      <c r="R22" s="2">
        <v>44613.25</v>
      </c>
      <c r="S22" s="0">
        <v>60</v>
      </c>
      <c r="T22" s="0">
        <v>12</v>
      </c>
      <c r="U22" s="0">
        <v>42</v>
      </c>
      <c r="V22" s="0">
        <v>679</v>
      </c>
      <c r="W22" s="1">
        <f>=HYPERLINK("10.175.1.14\MWEB.12\SEP\EntityDetails.10.175.1.14.MWEB.12.-api-mailadd.679.xlsx", "&lt;Detail&gt;")</f>
      </c>
      <c r="X22" s="1">
        <f>=HYPERLINK("10.175.1.14\MWEB.12\SEP\MetricGraphs.SEP.10.175.1.14.MWEB.12.xlsx", "&lt;Metrics&gt;")</f>
      </c>
      <c r="Y22" s="0" t="s">
        <v>107</v>
      </c>
      <c r="Z22" s="0" t="s">
        <v>108</v>
      </c>
      <c r="AA22" s="0" t="s">
        <v>126</v>
      </c>
      <c r="AB22" s="0" t="s">
        <v>611</v>
      </c>
      <c r="AC22" s="0" t="s">
        <v>109</v>
      </c>
    </row>
    <row r="23">
      <c r="A23" s="0" t="s">
        <v>28</v>
      </c>
      <c r="B23" s="0" t="s">
        <v>30</v>
      </c>
      <c r="C23" s="0" t="s">
        <v>125</v>
      </c>
      <c r="D23" s="0" t="s">
        <v>612</v>
      </c>
      <c r="E23" s="0" t="s">
        <v>229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 t="b">
        <v>0</v>
      </c>
      <c r="O23" s="2">
        <v>44613.583333333336</v>
      </c>
      <c r="P23" s="2">
        <v>44613.625</v>
      </c>
      <c r="Q23" s="2">
        <v>44613.208333333336</v>
      </c>
      <c r="R23" s="2">
        <v>44613.25</v>
      </c>
      <c r="S23" s="0">
        <v>60</v>
      </c>
      <c r="T23" s="0">
        <v>12</v>
      </c>
      <c r="U23" s="0">
        <v>42</v>
      </c>
      <c r="V23" s="0">
        <v>680</v>
      </c>
      <c r="W23" s="1">
        <f>=HYPERLINK("10.175.1.14\MWEB.12\SEP\EntityDetails.10.175.1.14.MWEB.12.-api-mailmag.680.xlsx", "&lt;Detail&gt;")</f>
      </c>
      <c r="X23" s="1">
        <f>=HYPERLINK("10.175.1.14\MWEB.12\SEP\MetricGraphs.SEP.10.175.1.14.MWEB.12.xlsx", "&lt;Metrics&gt;")</f>
      </c>
      <c r="Y23" s="0" t="s">
        <v>107</v>
      </c>
      <c r="Z23" s="0" t="s">
        <v>108</v>
      </c>
      <c r="AA23" s="0" t="s">
        <v>126</v>
      </c>
      <c r="AB23" s="0" t="s">
        <v>613</v>
      </c>
      <c r="AC23" s="0" t="s">
        <v>109</v>
      </c>
    </row>
    <row r="24">
      <c r="A24" s="0" t="s">
        <v>28</v>
      </c>
      <c r="B24" s="0" t="s">
        <v>30</v>
      </c>
      <c r="C24" s="0" t="s">
        <v>125</v>
      </c>
      <c r="D24" s="0" t="s">
        <v>614</v>
      </c>
      <c r="E24" s="0" t="s">
        <v>229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 t="b">
        <v>0</v>
      </c>
      <c r="O24" s="2">
        <v>44613.583333333336</v>
      </c>
      <c r="P24" s="2">
        <v>44613.625</v>
      </c>
      <c r="Q24" s="2">
        <v>44613.208333333336</v>
      </c>
      <c r="R24" s="2">
        <v>44613.25</v>
      </c>
      <c r="S24" s="0">
        <v>60</v>
      </c>
      <c r="T24" s="0">
        <v>12</v>
      </c>
      <c r="U24" s="0">
        <v>42</v>
      </c>
      <c r="V24" s="0">
        <v>902</v>
      </c>
      <c r="W24" s="1">
        <f>=HYPERLINK("10.175.1.14\MWEB.12\SEP\EntityDetails.10.175.1.14.MWEB.12.-api-mbwtmet.902.xlsx", "&lt;Detail&gt;")</f>
      </c>
      <c r="X24" s="1">
        <f>=HYPERLINK("10.175.1.14\MWEB.12\SEP\MetricGraphs.SEP.10.175.1.14.MWEB.12.xlsx", "&lt;Metrics&gt;")</f>
      </c>
      <c r="Y24" s="0" t="s">
        <v>107</v>
      </c>
      <c r="Z24" s="0" t="s">
        <v>108</v>
      </c>
      <c r="AA24" s="0" t="s">
        <v>126</v>
      </c>
      <c r="AB24" s="0" t="s">
        <v>615</v>
      </c>
      <c r="AC24" s="0" t="s">
        <v>109</v>
      </c>
    </row>
    <row r="25">
      <c r="A25" s="0" t="s">
        <v>28</v>
      </c>
      <c r="B25" s="0" t="s">
        <v>30</v>
      </c>
      <c r="C25" s="0" t="s">
        <v>125</v>
      </c>
      <c r="D25" s="0" t="s">
        <v>616</v>
      </c>
      <c r="E25" s="0" t="s">
        <v>229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 t="b">
        <v>0</v>
      </c>
      <c r="O25" s="2">
        <v>44613.583333333336</v>
      </c>
      <c r="P25" s="2">
        <v>44613.625</v>
      </c>
      <c r="Q25" s="2">
        <v>44613.208333333336</v>
      </c>
      <c r="R25" s="2">
        <v>44613.25</v>
      </c>
      <c r="S25" s="0">
        <v>60</v>
      </c>
      <c r="T25" s="0">
        <v>12</v>
      </c>
      <c r="U25" s="0">
        <v>42</v>
      </c>
      <c r="V25" s="0">
        <v>670</v>
      </c>
      <c r="W25" s="1">
        <f>=HYPERLINK("10.175.1.14\MWEB.12\SEP\EntityDetails.10.175.1.14.MWEB.12.-api-onetime.670.xlsx", "&lt;Detail&gt;")</f>
      </c>
      <c r="X25" s="1">
        <f>=HYPERLINK("10.175.1.14\MWEB.12\SEP\MetricGraphs.SEP.10.175.1.14.MWEB.12.xlsx", "&lt;Metrics&gt;")</f>
      </c>
      <c r="Y25" s="0" t="s">
        <v>107</v>
      </c>
      <c r="Z25" s="0" t="s">
        <v>108</v>
      </c>
      <c r="AA25" s="0" t="s">
        <v>126</v>
      </c>
      <c r="AB25" s="0" t="s">
        <v>617</v>
      </c>
      <c r="AC25" s="0" t="s">
        <v>109</v>
      </c>
    </row>
    <row r="26">
      <c r="A26" s="0" t="s">
        <v>28</v>
      </c>
      <c r="B26" s="0" t="s">
        <v>30</v>
      </c>
      <c r="C26" s="0" t="s">
        <v>133</v>
      </c>
      <c r="D26" s="0" t="s">
        <v>618</v>
      </c>
      <c r="E26" s="0" t="s">
        <v>229</v>
      </c>
      <c r="F26" s="0">
        <v>0</v>
      </c>
      <c r="G26" s="0" t="s">
        <v>106</v>
      </c>
      <c r="H26" s="0">
        <v>0</v>
      </c>
      <c r="I26" s="0">
        <v>0</v>
      </c>
      <c r="J26" s="0">
        <v>0</v>
      </c>
      <c r="K26" s="0">
        <v>0</v>
      </c>
      <c r="L26" s="0">
        <v>0</v>
      </c>
      <c r="M26" s="0">
        <v>0</v>
      </c>
      <c r="N26" s="0" t="b">
        <v>0</v>
      </c>
      <c r="O26" s="2">
        <v>44613.583333333336</v>
      </c>
      <c r="P26" s="2">
        <v>44613.625</v>
      </c>
      <c r="Q26" s="2">
        <v>44613.208333333336</v>
      </c>
      <c r="R26" s="2">
        <v>44613.25</v>
      </c>
      <c r="S26" s="0">
        <v>60</v>
      </c>
      <c r="T26" s="0">
        <v>12</v>
      </c>
      <c r="U26" s="0">
        <v>36</v>
      </c>
      <c r="V26" s="0">
        <v>1247</v>
      </c>
      <c r="W26" s="1">
        <f>=HYPERLINK("10.175.1.14\MWEB.12\SEP\EntityDetails.10.175.1.14.MWEB.12.-axis2-axis2.1247.xlsx", "&lt;Detail&gt;")</f>
      </c>
      <c r="X26" s="1">
        <f>=HYPERLINK("10.175.1.14\MWEB.12\SEP\MetricGraphs.SEP.10.175.1.14.MWEB.12.xlsx", "&lt;Metrics&gt;")</f>
      </c>
      <c r="Y26" s="0" t="s">
        <v>107</v>
      </c>
      <c r="Z26" s="0" t="s">
        <v>108</v>
      </c>
      <c r="AA26" s="0" t="s">
        <v>134</v>
      </c>
      <c r="AB26" s="0" t="s">
        <v>619</v>
      </c>
      <c r="AC26" s="0" t="s">
        <v>109</v>
      </c>
    </row>
    <row r="27">
      <c r="A27" s="0" t="s">
        <v>28</v>
      </c>
      <c r="B27" s="0" t="s">
        <v>30</v>
      </c>
      <c r="C27" s="0" t="s">
        <v>143</v>
      </c>
      <c r="D27" s="0" t="s">
        <v>235</v>
      </c>
      <c r="E27" s="0" t="s">
        <v>229</v>
      </c>
      <c r="F27" s="0">
        <v>0</v>
      </c>
      <c r="G27" s="0" t="s">
        <v>106</v>
      </c>
      <c r="H27" s="0">
        <v>0</v>
      </c>
      <c r="I27" s="0">
        <v>0</v>
      </c>
      <c r="J27" s="0">
        <v>0</v>
      </c>
      <c r="K27" s="0">
        <v>0</v>
      </c>
      <c r="L27" s="0">
        <v>0</v>
      </c>
      <c r="M27" s="0">
        <v>0</v>
      </c>
      <c r="N27" s="0" t="b">
        <v>0</v>
      </c>
      <c r="O27" s="2">
        <v>44613.583333333336</v>
      </c>
      <c r="P27" s="2">
        <v>44613.625</v>
      </c>
      <c r="Q27" s="2">
        <v>44613.208333333336</v>
      </c>
      <c r="R27" s="2">
        <v>44613.25</v>
      </c>
      <c r="S27" s="0">
        <v>60</v>
      </c>
      <c r="T27" s="0">
        <v>12</v>
      </c>
      <c r="U27" s="0">
        <v>43</v>
      </c>
      <c r="V27" s="0">
        <v>903</v>
      </c>
      <c r="W27" s="1">
        <f>=HYPERLINK("10.175.1.14\MWEB.12\SEP\EntityDetails.10.175.1.14.MWEB.12.-bea_wls_int.903.xlsx", "&lt;Detail&gt;")</f>
      </c>
      <c r="X27" s="1">
        <f>=HYPERLINK("10.175.1.14\MWEB.12\SEP\MetricGraphs.SEP.10.175.1.14.MWEB.12.xlsx", "&lt;Metrics&gt;")</f>
      </c>
      <c r="Y27" s="0" t="s">
        <v>107</v>
      </c>
      <c r="Z27" s="0" t="s">
        <v>108</v>
      </c>
      <c r="AA27" s="0" t="s">
        <v>144</v>
      </c>
      <c r="AB27" s="0" t="s">
        <v>620</v>
      </c>
      <c r="AC27" s="0" t="s">
        <v>109</v>
      </c>
    </row>
    <row r="28">
      <c r="A28" s="0" t="s">
        <v>28</v>
      </c>
      <c r="B28" s="0" t="s">
        <v>30</v>
      </c>
      <c r="C28" s="0" t="s">
        <v>163</v>
      </c>
      <c r="D28" s="0" t="s">
        <v>235</v>
      </c>
      <c r="E28" s="0" t="s">
        <v>229</v>
      </c>
      <c r="F28" s="0">
        <v>0</v>
      </c>
      <c r="G28" s="0" t="s">
        <v>106</v>
      </c>
      <c r="H28" s="0">
        <v>0</v>
      </c>
      <c r="I28" s="0">
        <v>0</v>
      </c>
      <c r="J28" s="0">
        <v>0</v>
      </c>
      <c r="K28" s="0">
        <v>0</v>
      </c>
      <c r="L28" s="0">
        <v>0</v>
      </c>
      <c r="M28" s="0">
        <v>0</v>
      </c>
      <c r="N28" s="0" t="b">
        <v>0</v>
      </c>
      <c r="O28" s="2">
        <v>44613.583333333336</v>
      </c>
      <c r="P28" s="2">
        <v>44613.625</v>
      </c>
      <c r="Q28" s="2">
        <v>44613.208333333336</v>
      </c>
      <c r="R28" s="2">
        <v>44613.25</v>
      </c>
      <c r="S28" s="0">
        <v>60</v>
      </c>
      <c r="T28" s="0">
        <v>12</v>
      </c>
      <c r="U28" s="0">
        <v>55</v>
      </c>
      <c r="V28" s="0">
        <v>2281</v>
      </c>
      <c r="W28" s="1">
        <f>=HYPERLINK("10.175.1.14\MWEB.12\SEP\EntityDetails.10.175.1.14.MWEB.12.-bea_wls_int.2281.xlsx", "&lt;Detail&gt;")</f>
      </c>
      <c r="X28" s="1">
        <f>=HYPERLINK("10.175.1.14\MWEB.12\SEP\MetricGraphs.SEP.10.175.1.14.MWEB.12.xlsx", "&lt;Metrics&gt;")</f>
      </c>
      <c r="Y28" s="0" t="s">
        <v>107</v>
      </c>
      <c r="Z28" s="0" t="s">
        <v>108</v>
      </c>
      <c r="AA28" s="0" t="s">
        <v>164</v>
      </c>
      <c r="AB28" s="0" t="s">
        <v>621</v>
      </c>
      <c r="AC28" s="0" t="s">
        <v>109</v>
      </c>
    </row>
    <row r="29">
      <c r="A29" s="0" t="s">
        <v>28</v>
      </c>
      <c r="B29" s="0" t="s">
        <v>30</v>
      </c>
      <c r="C29" s="0" t="s">
        <v>133</v>
      </c>
      <c r="D29" s="0" t="s">
        <v>622</v>
      </c>
      <c r="E29" s="0" t="s">
        <v>229</v>
      </c>
      <c r="F29" s="0">
        <v>0</v>
      </c>
      <c r="G29" s="0" t="s">
        <v>106</v>
      </c>
      <c r="H29" s="0">
        <v>0</v>
      </c>
      <c r="I29" s="0">
        <v>0</v>
      </c>
      <c r="J29" s="0">
        <v>0</v>
      </c>
      <c r="K29" s="0">
        <v>0</v>
      </c>
      <c r="L29" s="0">
        <v>0</v>
      </c>
      <c r="M29" s="0">
        <v>0</v>
      </c>
      <c r="N29" s="0" t="b">
        <v>0</v>
      </c>
      <c r="O29" s="2">
        <v>44613.583333333336</v>
      </c>
      <c r="P29" s="2">
        <v>44613.625</v>
      </c>
      <c r="Q29" s="2">
        <v>44613.208333333336</v>
      </c>
      <c r="R29" s="2">
        <v>44613.25</v>
      </c>
      <c r="S29" s="0">
        <v>60</v>
      </c>
      <c r="T29" s="0">
        <v>12</v>
      </c>
      <c r="U29" s="0">
        <v>36</v>
      </c>
      <c r="V29" s="0">
        <v>1241</v>
      </c>
      <c r="W29" s="1">
        <f>=HYPERLINK("10.175.1.14\MWEB.12\SEP\EntityDetails.10.175.1.14.MWEB.12.-cgi-bin-1mn.1241.xlsx", "&lt;Detail&gt;")</f>
      </c>
      <c r="X29" s="1">
        <f>=HYPERLINK("10.175.1.14\MWEB.12\SEP\MetricGraphs.SEP.10.175.1.14.MWEB.12.xlsx", "&lt;Metrics&gt;")</f>
      </c>
      <c r="Y29" s="0" t="s">
        <v>107</v>
      </c>
      <c r="Z29" s="0" t="s">
        <v>108</v>
      </c>
      <c r="AA29" s="0" t="s">
        <v>134</v>
      </c>
      <c r="AB29" s="0" t="s">
        <v>623</v>
      </c>
      <c r="AC29" s="0" t="s">
        <v>109</v>
      </c>
    </row>
    <row r="30">
      <c r="A30" s="0" t="s">
        <v>28</v>
      </c>
      <c r="B30" s="0" t="s">
        <v>30</v>
      </c>
      <c r="C30" s="0" t="s">
        <v>133</v>
      </c>
      <c r="D30" s="0" t="s">
        <v>624</v>
      </c>
      <c r="E30" s="0" t="s">
        <v>229</v>
      </c>
      <c r="F30" s="0">
        <v>0</v>
      </c>
      <c r="G30" s="0" t="s">
        <v>106</v>
      </c>
      <c r="H30" s="0">
        <v>0</v>
      </c>
      <c r="I30" s="0">
        <v>0</v>
      </c>
      <c r="J30" s="0">
        <v>0</v>
      </c>
      <c r="K30" s="0">
        <v>0</v>
      </c>
      <c r="L30" s="0">
        <v>0</v>
      </c>
      <c r="M30" s="0">
        <v>0</v>
      </c>
      <c r="N30" s="0" t="b">
        <v>0</v>
      </c>
      <c r="O30" s="2">
        <v>44613.583333333336</v>
      </c>
      <c r="P30" s="2">
        <v>44613.625</v>
      </c>
      <c r="Q30" s="2">
        <v>44613.208333333336</v>
      </c>
      <c r="R30" s="2">
        <v>44613.25</v>
      </c>
      <c r="S30" s="0">
        <v>60</v>
      </c>
      <c r="T30" s="0">
        <v>12</v>
      </c>
      <c r="U30" s="0">
        <v>36</v>
      </c>
      <c r="V30" s="0">
        <v>1235</v>
      </c>
      <c r="W30" s="1">
        <f>=HYPERLINK("10.175.1.14\MWEB.12\SEP\EntityDetails.10.175.1.14.MWEB.12.-cgi-bin-zen.1235.xlsx", "&lt;Detail&gt;")</f>
      </c>
      <c r="X30" s="1">
        <f>=HYPERLINK("10.175.1.14\MWEB.12\SEP\MetricGraphs.SEP.10.175.1.14.MWEB.12.xlsx", "&lt;Metrics&gt;")</f>
      </c>
      <c r="Y30" s="0" t="s">
        <v>107</v>
      </c>
      <c r="Z30" s="0" t="s">
        <v>108</v>
      </c>
      <c r="AA30" s="0" t="s">
        <v>134</v>
      </c>
      <c r="AB30" s="0" t="s">
        <v>625</v>
      </c>
      <c r="AC30" s="0" t="s">
        <v>109</v>
      </c>
    </row>
    <row r="31">
      <c r="A31" s="0" t="s">
        <v>28</v>
      </c>
      <c r="B31" s="0" t="s">
        <v>30</v>
      </c>
      <c r="C31" s="0" t="s">
        <v>133</v>
      </c>
      <c r="D31" s="0" t="s">
        <v>626</v>
      </c>
      <c r="E31" s="0" t="s">
        <v>229</v>
      </c>
      <c r="F31" s="0">
        <v>0</v>
      </c>
      <c r="G31" s="0" t="s">
        <v>106</v>
      </c>
      <c r="H31" s="0">
        <v>0</v>
      </c>
      <c r="I31" s="0">
        <v>0</v>
      </c>
      <c r="J31" s="0">
        <v>0</v>
      </c>
      <c r="K31" s="0">
        <v>0</v>
      </c>
      <c r="L31" s="0">
        <v>0</v>
      </c>
      <c r="M31" s="0">
        <v>0</v>
      </c>
      <c r="N31" s="0" t="b">
        <v>0</v>
      </c>
      <c r="O31" s="2">
        <v>44613.583333333336</v>
      </c>
      <c r="P31" s="2">
        <v>44613.625</v>
      </c>
      <c r="Q31" s="2">
        <v>44613.208333333336</v>
      </c>
      <c r="R31" s="2">
        <v>44613.25</v>
      </c>
      <c r="S31" s="0">
        <v>60</v>
      </c>
      <c r="T31" s="0">
        <v>12</v>
      </c>
      <c r="U31" s="0">
        <v>36</v>
      </c>
      <c r="V31" s="0">
        <v>1240</v>
      </c>
      <c r="W31" s="1">
        <f>=HYPERLINK("10.175.1.14\MWEB.12\SEP\EntityDetails.10.175.1.14.MWEB.12.-clearspace-.1240.xlsx", "&lt;Detail&gt;")</f>
      </c>
      <c r="X31" s="1">
        <f>=HYPERLINK("10.175.1.14\MWEB.12\SEP\MetricGraphs.SEP.10.175.1.14.MWEB.12.xlsx", "&lt;Metrics&gt;")</f>
      </c>
      <c r="Y31" s="0" t="s">
        <v>107</v>
      </c>
      <c r="Z31" s="0" t="s">
        <v>108</v>
      </c>
      <c r="AA31" s="0" t="s">
        <v>134</v>
      </c>
      <c r="AB31" s="0" t="s">
        <v>627</v>
      </c>
      <c r="AC31" s="0" t="s">
        <v>109</v>
      </c>
    </row>
    <row r="32">
      <c r="A32" s="0" t="s">
        <v>28</v>
      </c>
      <c r="B32" s="0" t="s">
        <v>30</v>
      </c>
      <c r="C32" s="0" t="s">
        <v>133</v>
      </c>
      <c r="D32" s="0" t="s">
        <v>238</v>
      </c>
      <c r="E32" s="0" t="s">
        <v>229</v>
      </c>
      <c r="F32" s="0">
        <v>0</v>
      </c>
      <c r="G32" s="0" t="s">
        <v>106</v>
      </c>
      <c r="H32" s="0">
        <v>0</v>
      </c>
      <c r="I32" s="0">
        <v>0</v>
      </c>
      <c r="J32" s="0">
        <v>0</v>
      </c>
      <c r="K32" s="0">
        <v>0</v>
      </c>
      <c r="L32" s="0">
        <v>0</v>
      </c>
      <c r="M32" s="0">
        <v>0</v>
      </c>
      <c r="N32" s="0" t="b">
        <v>0</v>
      </c>
      <c r="O32" s="2">
        <v>44613.583333333336</v>
      </c>
      <c r="P32" s="2">
        <v>44613.625</v>
      </c>
      <c r="Q32" s="2">
        <v>44613.208333333336</v>
      </c>
      <c r="R32" s="2">
        <v>44613.25</v>
      </c>
      <c r="S32" s="0">
        <v>60</v>
      </c>
      <c r="T32" s="0">
        <v>12</v>
      </c>
      <c r="U32" s="0">
        <v>36</v>
      </c>
      <c r="V32" s="0">
        <v>196</v>
      </c>
      <c r="W32" s="1">
        <f>=HYPERLINK("10.175.1.14\MWEB.12\SEP\EntityDetails.10.175.1.14.MWEB.12.-connect-api.196.xlsx", "&lt;Detail&gt;")</f>
      </c>
      <c r="X32" s="1">
        <f>=HYPERLINK("10.175.1.14\MWEB.12\SEP\MetricGraphs.SEP.10.175.1.14.MWEB.12.xlsx", "&lt;Metrics&gt;")</f>
      </c>
      <c r="Y32" s="0" t="s">
        <v>107</v>
      </c>
      <c r="Z32" s="0" t="s">
        <v>108</v>
      </c>
      <c r="AA32" s="0" t="s">
        <v>134</v>
      </c>
      <c r="AB32" s="0" t="s">
        <v>628</v>
      </c>
      <c r="AC32" s="0" t="s">
        <v>109</v>
      </c>
    </row>
    <row r="33">
      <c r="A33" s="0" t="s">
        <v>28</v>
      </c>
      <c r="B33" s="0" t="s">
        <v>30</v>
      </c>
      <c r="C33" s="0" t="s">
        <v>135</v>
      </c>
      <c r="D33" s="0" t="s">
        <v>238</v>
      </c>
      <c r="E33" s="0" t="s">
        <v>229</v>
      </c>
      <c r="F33" s="0">
        <v>0</v>
      </c>
      <c r="G33" s="0" t="s">
        <v>106</v>
      </c>
      <c r="H33" s="0">
        <v>0</v>
      </c>
      <c r="I33" s="0">
        <v>0</v>
      </c>
      <c r="J33" s="0">
        <v>0</v>
      </c>
      <c r="K33" s="0">
        <v>0</v>
      </c>
      <c r="L33" s="0">
        <v>0</v>
      </c>
      <c r="M33" s="0">
        <v>0</v>
      </c>
      <c r="N33" s="0" t="b">
        <v>0</v>
      </c>
      <c r="O33" s="2">
        <v>44613.583333333336</v>
      </c>
      <c r="P33" s="2">
        <v>44613.625</v>
      </c>
      <c r="Q33" s="2">
        <v>44613.208333333336</v>
      </c>
      <c r="R33" s="2">
        <v>44613.25</v>
      </c>
      <c r="S33" s="0">
        <v>60</v>
      </c>
      <c r="T33" s="0">
        <v>12</v>
      </c>
      <c r="U33" s="0">
        <v>37</v>
      </c>
      <c r="V33" s="0">
        <v>282</v>
      </c>
      <c r="W33" s="1">
        <f>=HYPERLINK("10.175.1.14\MWEB.12\SEP\EntityDetails.10.175.1.14.MWEB.12.-connect-api.282.xlsx", "&lt;Detail&gt;")</f>
      </c>
      <c r="X33" s="1">
        <f>=HYPERLINK("10.175.1.14\MWEB.12\SEP\MetricGraphs.SEP.10.175.1.14.MWEB.12.xlsx", "&lt;Metrics&gt;")</f>
      </c>
      <c r="Y33" s="0" t="s">
        <v>107</v>
      </c>
      <c r="Z33" s="0" t="s">
        <v>108</v>
      </c>
      <c r="AA33" s="0" t="s">
        <v>136</v>
      </c>
      <c r="AB33" s="0" t="s">
        <v>629</v>
      </c>
      <c r="AC33" s="0" t="s">
        <v>109</v>
      </c>
    </row>
    <row r="34">
      <c r="A34" s="0" t="s">
        <v>28</v>
      </c>
      <c r="B34" s="0" t="s">
        <v>30</v>
      </c>
      <c r="C34" s="0" t="s">
        <v>137</v>
      </c>
      <c r="D34" s="0" t="s">
        <v>238</v>
      </c>
      <c r="E34" s="0" t="s">
        <v>229</v>
      </c>
      <c r="F34" s="0">
        <v>0</v>
      </c>
      <c r="G34" s="0" t="s">
        <v>106</v>
      </c>
      <c r="H34" s="0">
        <v>0</v>
      </c>
      <c r="I34" s="0">
        <v>0</v>
      </c>
      <c r="J34" s="0">
        <v>0</v>
      </c>
      <c r="K34" s="0">
        <v>0</v>
      </c>
      <c r="L34" s="0">
        <v>0</v>
      </c>
      <c r="M34" s="0">
        <v>0</v>
      </c>
      <c r="N34" s="0" t="b">
        <v>0</v>
      </c>
      <c r="O34" s="2">
        <v>44613.583333333336</v>
      </c>
      <c r="P34" s="2">
        <v>44613.625</v>
      </c>
      <c r="Q34" s="2">
        <v>44613.208333333336</v>
      </c>
      <c r="R34" s="2">
        <v>44613.25</v>
      </c>
      <c r="S34" s="0">
        <v>60</v>
      </c>
      <c r="T34" s="0">
        <v>12</v>
      </c>
      <c r="U34" s="0">
        <v>38</v>
      </c>
      <c r="V34" s="0">
        <v>284</v>
      </c>
      <c r="W34" s="1">
        <f>=HYPERLINK("10.175.1.14\MWEB.12\SEP\EntityDetails.10.175.1.14.MWEB.12.-connect-api.284.xlsx", "&lt;Detail&gt;")</f>
      </c>
      <c r="X34" s="1">
        <f>=HYPERLINK("10.175.1.14\MWEB.12\SEP\MetricGraphs.SEP.10.175.1.14.MWEB.12.xlsx", "&lt;Metrics&gt;")</f>
      </c>
      <c r="Y34" s="0" t="s">
        <v>107</v>
      </c>
      <c r="Z34" s="0" t="s">
        <v>108</v>
      </c>
      <c r="AA34" s="0" t="s">
        <v>138</v>
      </c>
      <c r="AB34" s="0" t="s">
        <v>630</v>
      </c>
      <c r="AC34" s="0" t="s">
        <v>109</v>
      </c>
    </row>
    <row r="35">
      <c r="A35" s="0" t="s">
        <v>28</v>
      </c>
      <c r="B35" s="0" t="s">
        <v>30</v>
      </c>
      <c r="C35" s="0" t="s">
        <v>125</v>
      </c>
      <c r="D35" s="0" t="s">
        <v>242</v>
      </c>
      <c r="E35" s="0" t="s">
        <v>229</v>
      </c>
      <c r="F35" s="0">
        <v>0</v>
      </c>
      <c r="G35" s="0" t="s">
        <v>106</v>
      </c>
      <c r="H35" s="0">
        <v>0</v>
      </c>
      <c r="I35" s="0">
        <v>0</v>
      </c>
      <c r="J35" s="0">
        <v>0</v>
      </c>
      <c r="K35" s="0">
        <v>0</v>
      </c>
      <c r="L35" s="0">
        <v>0</v>
      </c>
      <c r="M35" s="0">
        <v>0</v>
      </c>
      <c r="N35" s="0" t="b">
        <v>0</v>
      </c>
      <c r="O35" s="2">
        <v>44613.583333333336</v>
      </c>
      <c r="P35" s="2">
        <v>44613.625</v>
      </c>
      <c r="Q35" s="2">
        <v>44613.208333333336</v>
      </c>
      <c r="R35" s="2">
        <v>44613.25</v>
      </c>
      <c r="S35" s="0">
        <v>60</v>
      </c>
      <c r="T35" s="0">
        <v>12</v>
      </c>
      <c r="U35" s="0">
        <v>42</v>
      </c>
      <c r="V35" s="0">
        <v>287</v>
      </c>
      <c r="W35" s="1">
        <f>=HYPERLINK("10.175.1.14\MWEB.12\SEP\EntityDetails.10.175.1.14.MWEB.12.-connect-dum.287.xlsx", "&lt;Detail&gt;")</f>
      </c>
      <c r="X35" s="1">
        <f>=HYPERLINK("10.175.1.14\MWEB.12\SEP\MetricGraphs.SEP.10.175.1.14.MWEB.12.xlsx", "&lt;Metrics&gt;")</f>
      </c>
      <c r="Y35" s="0" t="s">
        <v>107</v>
      </c>
      <c r="Z35" s="0" t="s">
        <v>108</v>
      </c>
      <c r="AA35" s="0" t="s">
        <v>126</v>
      </c>
      <c r="AB35" s="0" t="s">
        <v>631</v>
      </c>
      <c r="AC35" s="0" t="s">
        <v>109</v>
      </c>
    </row>
    <row r="36">
      <c r="A36" s="0" t="s">
        <v>28</v>
      </c>
      <c r="B36" s="0" t="s">
        <v>30</v>
      </c>
      <c r="C36" s="0" t="s">
        <v>129</v>
      </c>
      <c r="D36" s="0" t="s">
        <v>244</v>
      </c>
      <c r="E36" s="0" t="s">
        <v>229</v>
      </c>
      <c r="F36" s="0">
        <v>0</v>
      </c>
      <c r="G36" s="0" t="s">
        <v>106</v>
      </c>
      <c r="H36" s="0">
        <v>0</v>
      </c>
      <c r="I36" s="0">
        <v>0</v>
      </c>
      <c r="J36" s="0">
        <v>0</v>
      </c>
      <c r="K36" s="0">
        <v>0</v>
      </c>
      <c r="L36" s="0">
        <v>0</v>
      </c>
      <c r="M36" s="0">
        <v>0</v>
      </c>
      <c r="N36" s="0" t="b">
        <v>0</v>
      </c>
      <c r="O36" s="2">
        <v>44613.583333333336</v>
      </c>
      <c r="P36" s="2">
        <v>44613.625</v>
      </c>
      <c r="Q36" s="2">
        <v>44613.208333333336</v>
      </c>
      <c r="R36" s="2">
        <v>44613.25</v>
      </c>
      <c r="S36" s="0">
        <v>60</v>
      </c>
      <c r="T36" s="0">
        <v>12</v>
      </c>
      <c r="U36" s="0">
        <v>41</v>
      </c>
      <c r="V36" s="0">
        <v>702</v>
      </c>
      <c r="W36" s="1">
        <f>=HYPERLINK("10.175.1.14\MWEB.12\SEP\EntityDetails.10.175.1.14.MWEB.12.-connect-ind.702.xlsx", "&lt;Detail&gt;")</f>
      </c>
      <c r="X36" s="1">
        <f>=HYPERLINK("10.175.1.14\MWEB.12\SEP\MetricGraphs.SEP.10.175.1.14.MWEB.12.xlsx", "&lt;Metrics&gt;")</f>
      </c>
      <c r="Y36" s="0" t="s">
        <v>107</v>
      </c>
      <c r="Z36" s="0" t="s">
        <v>108</v>
      </c>
      <c r="AA36" s="0" t="s">
        <v>130</v>
      </c>
      <c r="AB36" s="0" t="s">
        <v>632</v>
      </c>
      <c r="AC36" s="0" t="s">
        <v>109</v>
      </c>
    </row>
    <row r="37">
      <c r="A37" s="0" t="s">
        <v>28</v>
      </c>
      <c r="B37" s="0" t="s">
        <v>30</v>
      </c>
      <c r="C37" s="0" t="s">
        <v>151</v>
      </c>
      <c r="D37" s="0" t="s">
        <v>244</v>
      </c>
      <c r="E37" s="0" t="s">
        <v>229</v>
      </c>
      <c r="F37" s="0">
        <v>0</v>
      </c>
      <c r="G37" s="0" t="s">
        <v>106</v>
      </c>
      <c r="H37" s="0">
        <v>0</v>
      </c>
      <c r="I37" s="0">
        <v>0</v>
      </c>
      <c r="J37" s="0">
        <v>0</v>
      </c>
      <c r="K37" s="0">
        <v>0</v>
      </c>
      <c r="L37" s="0">
        <v>0</v>
      </c>
      <c r="M37" s="0">
        <v>0</v>
      </c>
      <c r="N37" s="0" t="b">
        <v>0</v>
      </c>
      <c r="O37" s="2">
        <v>44613.583333333336</v>
      </c>
      <c r="P37" s="2">
        <v>44613.625</v>
      </c>
      <c r="Q37" s="2">
        <v>44613.208333333336</v>
      </c>
      <c r="R37" s="2">
        <v>44613.25</v>
      </c>
      <c r="S37" s="0">
        <v>60</v>
      </c>
      <c r="T37" s="0">
        <v>12</v>
      </c>
      <c r="U37" s="0">
        <v>52</v>
      </c>
      <c r="V37" s="0">
        <v>1959</v>
      </c>
      <c r="W37" s="1">
        <f>=HYPERLINK("10.175.1.14\MWEB.12\SEP\EntityDetails.10.175.1.14.MWEB.12.-connect-ind.1959.xlsx", "&lt;Detail&gt;")</f>
      </c>
      <c r="X37" s="1">
        <f>=HYPERLINK("10.175.1.14\MWEB.12\SEP\MetricGraphs.SEP.10.175.1.14.MWEB.12.xlsx", "&lt;Metrics&gt;")</f>
      </c>
      <c r="Y37" s="0" t="s">
        <v>107</v>
      </c>
      <c r="Z37" s="0" t="s">
        <v>108</v>
      </c>
      <c r="AA37" s="0" t="s">
        <v>152</v>
      </c>
      <c r="AB37" s="0" t="s">
        <v>633</v>
      </c>
      <c r="AC37" s="0" t="s">
        <v>109</v>
      </c>
    </row>
    <row r="38">
      <c r="A38" s="0" t="s">
        <v>28</v>
      </c>
      <c r="B38" s="0" t="s">
        <v>30</v>
      </c>
      <c r="C38" s="0" t="s">
        <v>129</v>
      </c>
      <c r="D38" s="0" t="s">
        <v>247</v>
      </c>
      <c r="E38" s="0" t="s">
        <v>229</v>
      </c>
      <c r="F38" s="0">
        <v>0</v>
      </c>
      <c r="G38" s="0" t="s">
        <v>106</v>
      </c>
      <c r="H38" s="0">
        <v>0</v>
      </c>
      <c r="I38" s="0">
        <v>0</v>
      </c>
      <c r="J38" s="0">
        <v>0</v>
      </c>
      <c r="K38" s="0">
        <v>0</v>
      </c>
      <c r="L38" s="0">
        <v>0</v>
      </c>
      <c r="M38" s="0">
        <v>0</v>
      </c>
      <c r="N38" s="0" t="b">
        <v>0</v>
      </c>
      <c r="O38" s="2">
        <v>44613.583333333336</v>
      </c>
      <c r="P38" s="2">
        <v>44613.625</v>
      </c>
      <c r="Q38" s="2">
        <v>44613.208333333336</v>
      </c>
      <c r="R38" s="2">
        <v>44613.25</v>
      </c>
      <c r="S38" s="0">
        <v>60</v>
      </c>
      <c r="T38" s="0">
        <v>12</v>
      </c>
      <c r="U38" s="0">
        <v>41</v>
      </c>
      <c r="V38" s="0">
        <v>445</v>
      </c>
      <c r="W38" s="1">
        <f>=HYPERLINK("10.175.1.14\MWEB.12\SEP\EntityDetails.10.175.1.14.MWEB.12.-connect-mob.445.xlsx", "&lt;Detail&gt;")</f>
      </c>
      <c r="X38" s="1">
        <f>=HYPERLINK("10.175.1.14\MWEB.12\SEP\MetricGraphs.SEP.10.175.1.14.MWEB.12.xlsx", "&lt;Metrics&gt;")</f>
      </c>
      <c r="Y38" s="0" t="s">
        <v>107</v>
      </c>
      <c r="Z38" s="0" t="s">
        <v>108</v>
      </c>
      <c r="AA38" s="0" t="s">
        <v>130</v>
      </c>
      <c r="AB38" s="0" t="s">
        <v>634</v>
      </c>
      <c r="AC38" s="0" t="s">
        <v>109</v>
      </c>
    </row>
    <row r="39">
      <c r="A39" s="0" t="s">
        <v>28</v>
      </c>
      <c r="B39" s="0" t="s">
        <v>30</v>
      </c>
      <c r="C39" s="0" t="s">
        <v>133</v>
      </c>
      <c r="D39" s="0" t="s">
        <v>247</v>
      </c>
      <c r="E39" s="0" t="s">
        <v>229</v>
      </c>
      <c r="F39" s="0">
        <v>0</v>
      </c>
      <c r="G39" s="0" t="s">
        <v>106</v>
      </c>
      <c r="H39" s="0">
        <v>0</v>
      </c>
      <c r="I39" s="0">
        <v>0</v>
      </c>
      <c r="J39" s="0">
        <v>0</v>
      </c>
      <c r="K39" s="0">
        <v>0</v>
      </c>
      <c r="L39" s="0">
        <v>0</v>
      </c>
      <c r="M39" s="0">
        <v>0</v>
      </c>
      <c r="N39" s="0" t="b">
        <v>0</v>
      </c>
      <c r="O39" s="2">
        <v>44613.583333333336</v>
      </c>
      <c r="P39" s="2">
        <v>44613.625</v>
      </c>
      <c r="Q39" s="2">
        <v>44613.208333333336</v>
      </c>
      <c r="R39" s="2">
        <v>44613.25</v>
      </c>
      <c r="S39" s="0">
        <v>60</v>
      </c>
      <c r="T39" s="0">
        <v>12</v>
      </c>
      <c r="U39" s="0">
        <v>36</v>
      </c>
      <c r="V39" s="0">
        <v>437</v>
      </c>
      <c r="W39" s="1">
        <f>=HYPERLINK("10.175.1.14\MWEB.12\SEP\EntityDetails.10.175.1.14.MWEB.12.-connect-mob.437.xlsx", "&lt;Detail&gt;")</f>
      </c>
      <c r="X39" s="1">
        <f>=HYPERLINK("10.175.1.14\MWEB.12\SEP\MetricGraphs.SEP.10.175.1.14.MWEB.12.xlsx", "&lt;Metrics&gt;")</f>
      </c>
      <c r="Y39" s="0" t="s">
        <v>107</v>
      </c>
      <c r="Z39" s="0" t="s">
        <v>108</v>
      </c>
      <c r="AA39" s="0" t="s">
        <v>134</v>
      </c>
      <c r="AB39" s="0" t="s">
        <v>635</v>
      </c>
      <c r="AC39" s="0" t="s">
        <v>109</v>
      </c>
    </row>
    <row r="40">
      <c r="A40" s="0" t="s">
        <v>28</v>
      </c>
      <c r="B40" s="0" t="s">
        <v>30</v>
      </c>
      <c r="C40" s="0" t="s">
        <v>133</v>
      </c>
      <c r="D40" s="0" t="s">
        <v>249</v>
      </c>
      <c r="E40" s="0" t="s">
        <v>229</v>
      </c>
      <c r="F40" s="0">
        <v>0</v>
      </c>
      <c r="G40" s="0" t="s">
        <v>106</v>
      </c>
      <c r="H40" s="0">
        <v>0</v>
      </c>
      <c r="I40" s="0">
        <v>0</v>
      </c>
      <c r="J40" s="0">
        <v>0</v>
      </c>
      <c r="K40" s="0">
        <v>0</v>
      </c>
      <c r="L40" s="0">
        <v>0</v>
      </c>
      <c r="M40" s="0">
        <v>0</v>
      </c>
      <c r="N40" s="0" t="b">
        <v>0</v>
      </c>
      <c r="O40" s="2">
        <v>44613.583333333336</v>
      </c>
      <c r="P40" s="2">
        <v>44613.625</v>
      </c>
      <c r="Q40" s="2">
        <v>44613.208333333336</v>
      </c>
      <c r="R40" s="2">
        <v>44613.25</v>
      </c>
      <c r="S40" s="0">
        <v>60</v>
      </c>
      <c r="T40" s="0">
        <v>12</v>
      </c>
      <c r="U40" s="0">
        <v>36</v>
      </c>
      <c r="V40" s="0">
        <v>339</v>
      </c>
      <c r="W40" s="1">
        <f>=HYPERLINK("10.175.1.14\MWEB.12\SEP\EntityDetails.10.175.1.14.MWEB.12.-connect-red.339.xlsx", "&lt;Detail&gt;")</f>
      </c>
      <c r="X40" s="1">
        <f>=HYPERLINK("10.175.1.14\MWEB.12\SEP\MetricGraphs.SEP.10.175.1.14.MWEB.12.xlsx", "&lt;Metrics&gt;")</f>
      </c>
      <c r="Y40" s="0" t="s">
        <v>107</v>
      </c>
      <c r="Z40" s="0" t="s">
        <v>108</v>
      </c>
      <c r="AA40" s="0" t="s">
        <v>134</v>
      </c>
      <c r="AB40" s="0" t="s">
        <v>636</v>
      </c>
      <c r="AC40" s="0" t="s">
        <v>109</v>
      </c>
    </row>
    <row r="41">
      <c r="A41" s="0" t="s">
        <v>28</v>
      </c>
      <c r="B41" s="0" t="s">
        <v>30</v>
      </c>
      <c r="C41" s="0" t="s">
        <v>133</v>
      </c>
      <c r="D41" s="0" t="s">
        <v>251</v>
      </c>
      <c r="E41" s="0" t="s">
        <v>229</v>
      </c>
      <c r="F41" s="0">
        <v>0</v>
      </c>
      <c r="G41" s="0" t="s">
        <v>106</v>
      </c>
      <c r="H41" s="0">
        <v>0</v>
      </c>
      <c r="I41" s="0">
        <v>0</v>
      </c>
      <c r="J41" s="0">
        <v>0</v>
      </c>
      <c r="K41" s="0">
        <v>0</v>
      </c>
      <c r="L41" s="0">
        <v>0</v>
      </c>
      <c r="M41" s="0">
        <v>0</v>
      </c>
      <c r="N41" s="0" t="b">
        <v>0</v>
      </c>
      <c r="O41" s="2">
        <v>44613.583333333336</v>
      </c>
      <c r="P41" s="2">
        <v>44613.625</v>
      </c>
      <c r="Q41" s="2">
        <v>44613.208333333336</v>
      </c>
      <c r="R41" s="2">
        <v>44613.25</v>
      </c>
      <c r="S41" s="0">
        <v>60</v>
      </c>
      <c r="T41" s="0">
        <v>12</v>
      </c>
      <c r="U41" s="0">
        <v>36</v>
      </c>
      <c r="V41" s="0">
        <v>199</v>
      </c>
      <c r="W41" s="1">
        <f>=HYPERLINK("10.175.1.14\MWEB.12\SEP\EntityDetails.10.175.1.14.MWEB.12.-connect-WEB.199.xlsx", "&lt;Detail&gt;")</f>
      </c>
      <c r="X41" s="1">
        <f>=HYPERLINK("10.175.1.14\MWEB.12\SEP\MetricGraphs.SEP.10.175.1.14.MWEB.12.xlsx", "&lt;Metrics&gt;")</f>
      </c>
      <c r="Y41" s="0" t="s">
        <v>107</v>
      </c>
      <c r="Z41" s="0" t="s">
        <v>108</v>
      </c>
      <c r="AA41" s="0" t="s">
        <v>134</v>
      </c>
      <c r="AB41" s="0" t="s">
        <v>637</v>
      </c>
      <c r="AC41" s="0" t="s">
        <v>109</v>
      </c>
    </row>
    <row r="42">
      <c r="A42" s="0" t="s">
        <v>28</v>
      </c>
      <c r="B42" s="0" t="s">
        <v>30</v>
      </c>
      <c r="C42" s="0" t="s">
        <v>135</v>
      </c>
      <c r="D42" s="0" t="s">
        <v>251</v>
      </c>
      <c r="E42" s="0" t="s">
        <v>229</v>
      </c>
      <c r="F42" s="0">
        <v>0</v>
      </c>
      <c r="G42" s="0" t="s">
        <v>106</v>
      </c>
      <c r="H42" s="0">
        <v>0</v>
      </c>
      <c r="I42" s="0">
        <v>0</v>
      </c>
      <c r="J42" s="0">
        <v>0</v>
      </c>
      <c r="K42" s="0">
        <v>0</v>
      </c>
      <c r="L42" s="0">
        <v>0</v>
      </c>
      <c r="M42" s="0">
        <v>0</v>
      </c>
      <c r="N42" s="0" t="b">
        <v>0</v>
      </c>
      <c r="O42" s="2">
        <v>44613.583333333336</v>
      </c>
      <c r="P42" s="2">
        <v>44613.625</v>
      </c>
      <c r="Q42" s="2">
        <v>44613.208333333336</v>
      </c>
      <c r="R42" s="2">
        <v>44613.25</v>
      </c>
      <c r="S42" s="0">
        <v>60</v>
      </c>
      <c r="T42" s="0">
        <v>12</v>
      </c>
      <c r="U42" s="0">
        <v>37</v>
      </c>
      <c r="V42" s="0">
        <v>281</v>
      </c>
      <c r="W42" s="1">
        <f>=HYPERLINK("10.175.1.14\MWEB.12\SEP\EntityDetails.10.175.1.14.MWEB.12.-connect-WEB.281.xlsx", "&lt;Detail&gt;")</f>
      </c>
      <c r="X42" s="1">
        <f>=HYPERLINK("10.175.1.14\MWEB.12\SEP\MetricGraphs.SEP.10.175.1.14.MWEB.12.xlsx", "&lt;Metrics&gt;")</f>
      </c>
      <c r="Y42" s="0" t="s">
        <v>107</v>
      </c>
      <c r="Z42" s="0" t="s">
        <v>108</v>
      </c>
      <c r="AA42" s="0" t="s">
        <v>136</v>
      </c>
      <c r="AB42" s="0" t="s">
        <v>638</v>
      </c>
      <c r="AC42" s="0" t="s">
        <v>109</v>
      </c>
    </row>
    <row r="43">
      <c r="A43" s="0" t="s">
        <v>28</v>
      </c>
      <c r="B43" s="0" t="s">
        <v>30</v>
      </c>
      <c r="C43" s="0" t="s">
        <v>137</v>
      </c>
      <c r="D43" s="0" t="s">
        <v>251</v>
      </c>
      <c r="E43" s="0" t="s">
        <v>229</v>
      </c>
      <c r="F43" s="0">
        <v>0</v>
      </c>
      <c r="G43" s="0" t="s">
        <v>106</v>
      </c>
      <c r="H43" s="0">
        <v>0</v>
      </c>
      <c r="I43" s="0">
        <v>0</v>
      </c>
      <c r="J43" s="0">
        <v>0</v>
      </c>
      <c r="K43" s="0">
        <v>0</v>
      </c>
      <c r="L43" s="0">
        <v>0</v>
      </c>
      <c r="M43" s="0">
        <v>0</v>
      </c>
      <c r="N43" s="0" t="b">
        <v>0</v>
      </c>
      <c r="O43" s="2">
        <v>44613.583333333336</v>
      </c>
      <c r="P43" s="2">
        <v>44613.625</v>
      </c>
      <c r="Q43" s="2">
        <v>44613.208333333336</v>
      </c>
      <c r="R43" s="2">
        <v>44613.25</v>
      </c>
      <c r="S43" s="0">
        <v>60</v>
      </c>
      <c r="T43" s="0">
        <v>12</v>
      </c>
      <c r="U43" s="0">
        <v>38</v>
      </c>
      <c r="V43" s="0">
        <v>283</v>
      </c>
      <c r="W43" s="1">
        <f>=HYPERLINK("10.175.1.14\MWEB.12\SEP\EntityDetails.10.175.1.14.MWEB.12.-connect-WEB.283.xlsx", "&lt;Detail&gt;")</f>
      </c>
      <c r="X43" s="1">
        <f>=HYPERLINK("10.175.1.14\MWEB.12\SEP\MetricGraphs.SEP.10.175.1.14.MWEB.12.xlsx", "&lt;Metrics&gt;")</f>
      </c>
      <c r="Y43" s="0" t="s">
        <v>107</v>
      </c>
      <c r="Z43" s="0" t="s">
        <v>108</v>
      </c>
      <c r="AA43" s="0" t="s">
        <v>138</v>
      </c>
      <c r="AB43" s="0" t="s">
        <v>639</v>
      </c>
      <c r="AC43" s="0" t="s">
        <v>109</v>
      </c>
    </row>
    <row r="44">
      <c r="A44" s="0" t="s">
        <v>28</v>
      </c>
      <c r="B44" s="0" t="s">
        <v>30</v>
      </c>
      <c r="C44" s="0" t="s">
        <v>157</v>
      </c>
      <c r="D44" s="0" t="s">
        <v>251</v>
      </c>
      <c r="E44" s="0" t="s">
        <v>229</v>
      </c>
      <c r="F44" s="0">
        <v>0</v>
      </c>
      <c r="G44" s="0" t="s">
        <v>106</v>
      </c>
      <c r="H44" s="0">
        <v>0</v>
      </c>
      <c r="I44" s="0">
        <v>0</v>
      </c>
      <c r="J44" s="0">
        <v>0</v>
      </c>
      <c r="K44" s="0">
        <v>0</v>
      </c>
      <c r="L44" s="0">
        <v>0</v>
      </c>
      <c r="M44" s="0">
        <v>0</v>
      </c>
      <c r="N44" s="0" t="b">
        <v>0</v>
      </c>
      <c r="O44" s="2">
        <v>44613.583333333336</v>
      </c>
      <c r="P44" s="2">
        <v>44613.625</v>
      </c>
      <c r="Q44" s="2">
        <v>44613.208333333336</v>
      </c>
      <c r="R44" s="2">
        <v>44613.25</v>
      </c>
      <c r="S44" s="0">
        <v>60</v>
      </c>
      <c r="T44" s="0">
        <v>12</v>
      </c>
      <c r="U44" s="0">
        <v>53</v>
      </c>
      <c r="V44" s="0">
        <v>2531</v>
      </c>
      <c r="W44" s="1">
        <f>=HYPERLINK("10.175.1.14\MWEB.12\SEP\EntityDetails.10.175.1.14.MWEB.12.-connect-WEB.2531.xlsx", "&lt;Detail&gt;")</f>
      </c>
      <c r="X44" s="1">
        <f>=HYPERLINK("10.175.1.14\MWEB.12\SEP\MetricGraphs.SEP.10.175.1.14.MWEB.12.xlsx", "&lt;Metrics&gt;")</f>
      </c>
      <c r="Y44" s="0" t="s">
        <v>107</v>
      </c>
      <c r="Z44" s="0" t="s">
        <v>108</v>
      </c>
      <c r="AA44" s="0" t="s">
        <v>158</v>
      </c>
      <c r="AB44" s="0" t="s">
        <v>640</v>
      </c>
      <c r="AC44" s="0" t="s">
        <v>109</v>
      </c>
    </row>
    <row r="45">
      <c r="A45" s="0" t="s">
        <v>28</v>
      </c>
      <c r="B45" s="0" t="s">
        <v>30</v>
      </c>
      <c r="C45" s="0" t="s">
        <v>125</v>
      </c>
      <c r="D45" s="0" t="s">
        <v>641</v>
      </c>
      <c r="E45" s="0" t="s">
        <v>229</v>
      </c>
      <c r="F45" s="0">
        <v>0</v>
      </c>
      <c r="G45" s="0" t="s">
        <v>106</v>
      </c>
      <c r="H45" s="0">
        <v>0</v>
      </c>
      <c r="I45" s="0">
        <v>0</v>
      </c>
      <c r="J45" s="0">
        <v>0</v>
      </c>
      <c r="K45" s="0">
        <v>0</v>
      </c>
      <c r="L45" s="0">
        <v>0</v>
      </c>
      <c r="M45" s="0">
        <v>0</v>
      </c>
      <c r="N45" s="0" t="b">
        <v>0</v>
      </c>
      <c r="O45" s="2">
        <v>44613.583333333336</v>
      </c>
      <c r="P45" s="2">
        <v>44613.625</v>
      </c>
      <c r="Q45" s="2">
        <v>44613.208333333336</v>
      </c>
      <c r="R45" s="2">
        <v>44613.25</v>
      </c>
      <c r="S45" s="0">
        <v>60</v>
      </c>
      <c r="T45" s="0">
        <v>12</v>
      </c>
      <c r="U45" s="0">
        <v>42</v>
      </c>
      <c r="V45" s="0">
        <v>222</v>
      </c>
      <c r="W45" s="1">
        <f>=HYPERLINK("10.175.1.14\MWEB.12\SEP\EntityDetails.10.175.1.14.MWEB.12.-console-log.222.xlsx", "&lt;Detail&gt;")</f>
      </c>
      <c r="X45" s="1">
        <f>=HYPERLINK("10.175.1.14\MWEB.12\SEP\MetricGraphs.SEP.10.175.1.14.MWEB.12.xlsx", "&lt;Metrics&gt;")</f>
      </c>
      <c r="Y45" s="0" t="s">
        <v>107</v>
      </c>
      <c r="Z45" s="0" t="s">
        <v>108</v>
      </c>
      <c r="AA45" s="0" t="s">
        <v>126</v>
      </c>
      <c r="AB45" s="0" t="s">
        <v>642</v>
      </c>
      <c r="AC45" s="0" t="s">
        <v>109</v>
      </c>
    </row>
    <row r="46">
      <c r="A46" s="0" t="s">
        <v>28</v>
      </c>
      <c r="B46" s="0" t="s">
        <v>30</v>
      </c>
      <c r="C46" s="0" t="s">
        <v>125</v>
      </c>
      <c r="D46" s="0" t="s">
        <v>643</v>
      </c>
      <c r="E46" s="0" t="s">
        <v>229</v>
      </c>
      <c r="F46" s="0">
        <v>0</v>
      </c>
      <c r="G46" s="0" t="s">
        <v>106</v>
      </c>
      <c r="H46" s="0">
        <v>0</v>
      </c>
      <c r="I46" s="0">
        <v>0</v>
      </c>
      <c r="J46" s="0">
        <v>0</v>
      </c>
      <c r="K46" s="0">
        <v>0</v>
      </c>
      <c r="L46" s="0">
        <v>0</v>
      </c>
      <c r="M46" s="0">
        <v>0</v>
      </c>
      <c r="N46" s="0" t="b">
        <v>0</v>
      </c>
      <c r="O46" s="2">
        <v>44613.583333333336</v>
      </c>
      <c r="P46" s="2">
        <v>44613.625</v>
      </c>
      <c r="Q46" s="2">
        <v>44613.208333333336</v>
      </c>
      <c r="R46" s="2">
        <v>44613.25</v>
      </c>
      <c r="S46" s="0">
        <v>60</v>
      </c>
      <c r="T46" s="0">
        <v>12</v>
      </c>
      <c r="U46" s="0">
        <v>42</v>
      </c>
      <c r="V46" s="0">
        <v>1192</v>
      </c>
      <c r="W46" s="1">
        <f>=HYPERLINK("10.175.1.14\MWEB.12\SEP\EntityDetails.10.175.1.14.MWEB.12.-CSCOnm-serv.1192.xlsx", "&lt;Detail&gt;")</f>
      </c>
      <c r="X46" s="1">
        <f>=HYPERLINK("10.175.1.14\MWEB.12\SEP\MetricGraphs.SEP.10.175.1.14.MWEB.12.xlsx", "&lt;Metrics&gt;")</f>
      </c>
      <c r="Y46" s="0" t="s">
        <v>107</v>
      </c>
      <c r="Z46" s="0" t="s">
        <v>108</v>
      </c>
      <c r="AA46" s="0" t="s">
        <v>126</v>
      </c>
      <c r="AB46" s="0" t="s">
        <v>644</v>
      </c>
      <c r="AC46" s="0" t="s">
        <v>109</v>
      </c>
    </row>
    <row r="47">
      <c r="A47" s="0" t="s">
        <v>28</v>
      </c>
      <c r="B47" s="0" t="s">
        <v>30</v>
      </c>
      <c r="C47" s="0" t="s">
        <v>127</v>
      </c>
      <c r="D47" s="0" t="s">
        <v>643</v>
      </c>
      <c r="E47" s="0" t="s">
        <v>229</v>
      </c>
      <c r="F47" s="0">
        <v>0</v>
      </c>
      <c r="G47" s="0" t="s">
        <v>106</v>
      </c>
      <c r="H47" s="0">
        <v>0</v>
      </c>
      <c r="I47" s="0">
        <v>0</v>
      </c>
      <c r="J47" s="0">
        <v>0</v>
      </c>
      <c r="K47" s="0">
        <v>0</v>
      </c>
      <c r="L47" s="0">
        <v>0</v>
      </c>
      <c r="M47" s="0">
        <v>0</v>
      </c>
      <c r="N47" s="0" t="b">
        <v>0</v>
      </c>
      <c r="O47" s="2">
        <v>44613.583333333336</v>
      </c>
      <c r="P47" s="2">
        <v>44613.625</v>
      </c>
      <c r="Q47" s="2">
        <v>44613.208333333336</v>
      </c>
      <c r="R47" s="2">
        <v>44613.25</v>
      </c>
      <c r="S47" s="0">
        <v>60</v>
      </c>
      <c r="T47" s="0">
        <v>12</v>
      </c>
      <c r="U47" s="0">
        <v>39</v>
      </c>
      <c r="V47" s="0">
        <v>1207</v>
      </c>
      <c r="W47" s="1">
        <f>=HYPERLINK("10.175.1.14\MWEB.12\SEP\EntityDetails.10.175.1.14.MWEB.12.-CSCOnm-serv.1207.xlsx", "&lt;Detail&gt;")</f>
      </c>
      <c r="X47" s="1">
        <f>=HYPERLINK("10.175.1.14\MWEB.12\SEP\MetricGraphs.SEP.10.175.1.14.MWEB.12.xlsx", "&lt;Metrics&gt;")</f>
      </c>
      <c r="Y47" s="0" t="s">
        <v>107</v>
      </c>
      <c r="Z47" s="0" t="s">
        <v>108</v>
      </c>
      <c r="AA47" s="0" t="s">
        <v>128</v>
      </c>
      <c r="AB47" s="0" t="s">
        <v>645</v>
      </c>
      <c r="AC47" s="0" t="s">
        <v>109</v>
      </c>
    </row>
    <row r="48">
      <c r="A48" s="0" t="s">
        <v>28</v>
      </c>
      <c r="B48" s="0" t="s">
        <v>30</v>
      </c>
      <c r="C48" s="0" t="s">
        <v>133</v>
      </c>
      <c r="D48" s="0" t="s">
        <v>643</v>
      </c>
      <c r="E48" s="0" t="s">
        <v>229</v>
      </c>
      <c r="F48" s="0">
        <v>0</v>
      </c>
      <c r="G48" s="0" t="s">
        <v>106</v>
      </c>
      <c r="H48" s="0">
        <v>0</v>
      </c>
      <c r="I48" s="0">
        <v>0</v>
      </c>
      <c r="J48" s="0">
        <v>0</v>
      </c>
      <c r="K48" s="0">
        <v>0</v>
      </c>
      <c r="L48" s="0">
        <v>0</v>
      </c>
      <c r="M48" s="0">
        <v>0</v>
      </c>
      <c r="N48" s="0" t="b">
        <v>0</v>
      </c>
      <c r="O48" s="2">
        <v>44613.583333333336</v>
      </c>
      <c r="P48" s="2">
        <v>44613.625</v>
      </c>
      <c r="Q48" s="2">
        <v>44613.208333333336</v>
      </c>
      <c r="R48" s="2">
        <v>44613.25</v>
      </c>
      <c r="S48" s="0">
        <v>60</v>
      </c>
      <c r="T48" s="0">
        <v>12</v>
      </c>
      <c r="U48" s="0">
        <v>36</v>
      </c>
      <c r="V48" s="0">
        <v>1242</v>
      </c>
      <c r="W48" s="1">
        <f>=HYPERLINK("10.175.1.14\MWEB.12\SEP\EntityDetails.10.175.1.14.MWEB.12.-CSCOnm-serv.1242.xlsx", "&lt;Detail&gt;")</f>
      </c>
      <c r="X48" s="1">
        <f>=HYPERLINK("10.175.1.14\MWEB.12\SEP\MetricGraphs.SEP.10.175.1.14.MWEB.12.xlsx", "&lt;Metrics&gt;")</f>
      </c>
      <c r="Y48" s="0" t="s">
        <v>107</v>
      </c>
      <c r="Z48" s="0" t="s">
        <v>108</v>
      </c>
      <c r="AA48" s="0" t="s">
        <v>134</v>
      </c>
      <c r="AB48" s="0" t="s">
        <v>646</v>
      </c>
      <c r="AC48" s="0" t="s">
        <v>109</v>
      </c>
    </row>
    <row r="49">
      <c r="A49" s="0" t="s">
        <v>28</v>
      </c>
      <c r="B49" s="0" t="s">
        <v>30</v>
      </c>
      <c r="C49" s="0" t="s">
        <v>125</v>
      </c>
      <c r="D49" s="0" t="s">
        <v>647</v>
      </c>
      <c r="E49" s="0" t="s">
        <v>229</v>
      </c>
      <c r="F49" s="0">
        <v>0</v>
      </c>
      <c r="G49" s="0" t="s">
        <v>106</v>
      </c>
      <c r="H49" s="0">
        <v>0</v>
      </c>
      <c r="I49" s="0">
        <v>0</v>
      </c>
      <c r="J49" s="0">
        <v>0</v>
      </c>
      <c r="K49" s="0">
        <v>0</v>
      </c>
      <c r="L49" s="0">
        <v>0</v>
      </c>
      <c r="M49" s="0">
        <v>0</v>
      </c>
      <c r="N49" s="0" t="b">
        <v>0</v>
      </c>
      <c r="O49" s="2">
        <v>44613.583333333336</v>
      </c>
      <c r="P49" s="2">
        <v>44613.625</v>
      </c>
      <c r="Q49" s="2">
        <v>44613.208333333336</v>
      </c>
      <c r="R49" s="2">
        <v>44613.25</v>
      </c>
      <c r="S49" s="0">
        <v>60</v>
      </c>
      <c r="T49" s="0">
        <v>12</v>
      </c>
      <c r="U49" s="0">
        <v>42</v>
      </c>
      <c r="V49" s="0">
        <v>1191</v>
      </c>
      <c r="W49" s="1">
        <f>=HYPERLINK("10.175.1.14\MWEB.12\SEP\EntityDetails.10.175.1.14.MWEB.12.-cwhp-CSMSDe.1191.xlsx", "&lt;Detail&gt;")</f>
      </c>
      <c r="X49" s="1">
        <f>=HYPERLINK("10.175.1.14\MWEB.12\SEP\MetricGraphs.SEP.10.175.1.14.MWEB.12.xlsx", "&lt;Metrics&gt;")</f>
      </c>
      <c r="Y49" s="0" t="s">
        <v>107</v>
      </c>
      <c r="Z49" s="0" t="s">
        <v>108</v>
      </c>
      <c r="AA49" s="0" t="s">
        <v>126</v>
      </c>
      <c r="AB49" s="0" t="s">
        <v>648</v>
      </c>
      <c r="AC49" s="0" t="s">
        <v>109</v>
      </c>
    </row>
    <row r="50">
      <c r="A50" s="0" t="s">
        <v>28</v>
      </c>
      <c r="B50" s="0" t="s">
        <v>30</v>
      </c>
      <c r="C50" s="0" t="s">
        <v>127</v>
      </c>
      <c r="D50" s="0" t="s">
        <v>647</v>
      </c>
      <c r="E50" s="0" t="s">
        <v>229</v>
      </c>
      <c r="F50" s="0">
        <v>0</v>
      </c>
      <c r="G50" s="0" t="s">
        <v>106</v>
      </c>
      <c r="H50" s="0">
        <v>0</v>
      </c>
      <c r="I50" s="0">
        <v>0</v>
      </c>
      <c r="J50" s="0">
        <v>0</v>
      </c>
      <c r="K50" s="0">
        <v>0</v>
      </c>
      <c r="L50" s="0">
        <v>0</v>
      </c>
      <c r="M50" s="0">
        <v>0</v>
      </c>
      <c r="N50" s="0" t="b">
        <v>0</v>
      </c>
      <c r="O50" s="2">
        <v>44613.583333333336</v>
      </c>
      <c r="P50" s="2">
        <v>44613.625</v>
      </c>
      <c r="Q50" s="2">
        <v>44613.208333333336</v>
      </c>
      <c r="R50" s="2">
        <v>44613.25</v>
      </c>
      <c r="S50" s="0">
        <v>60</v>
      </c>
      <c r="T50" s="0">
        <v>12</v>
      </c>
      <c r="U50" s="0">
        <v>39</v>
      </c>
      <c r="V50" s="0">
        <v>1206</v>
      </c>
      <c r="W50" s="1">
        <f>=HYPERLINK("10.175.1.14\MWEB.12\SEP\EntityDetails.10.175.1.14.MWEB.12.-cwhp-CSMSDe.1206.xlsx", "&lt;Detail&gt;")</f>
      </c>
      <c r="X50" s="1">
        <f>=HYPERLINK("10.175.1.14\MWEB.12\SEP\MetricGraphs.SEP.10.175.1.14.MWEB.12.xlsx", "&lt;Metrics&gt;")</f>
      </c>
      <c r="Y50" s="0" t="s">
        <v>107</v>
      </c>
      <c r="Z50" s="0" t="s">
        <v>108</v>
      </c>
      <c r="AA50" s="0" t="s">
        <v>128</v>
      </c>
      <c r="AB50" s="0" t="s">
        <v>649</v>
      </c>
      <c r="AC50" s="0" t="s">
        <v>109</v>
      </c>
    </row>
    <row r="51">
      <c r="A51" s="0" t="s">
        <v>28</v>
      </c>
      <c r="B51" s="0" t="s">
        <v>30</v>
      </c>
      <c r="C51" s="0" t="s">
        <v>125</v>
      </c>
      <c r="D51" s="0" t="s">
        <v>253</v>
      </c>
      <c r="E51" s="0" t="s">
        <v>229</v>
      </c>
      <c r="F51" s="0">
        <v>0</v>
      </c>
      <c r="G51" s="0" t="s">
        <v>106</v>
      </c>
      <c r="H51" s="0">
        <v>0</v>
      </c>
      <c r="I51" s="0">
        <v>0</v>
      </c>
      <c r="J51" s="0">
        <v>0</v>
      </c>
      <c r="K51" s="0">
        <v>0</v>
      </c>
      <c r="L51" s="0">
        <v>0</v>
      </c>
      <c r="M51" s="0">
        <v>0</v>
      </c>
      <c r="N51" s="0" t="b">
        <v>0</v>
      </c>
      <c r="O51" s="2">
        <v>44613.583333333336</v>
      </c>
      <c r="P51" s="2">
        <v>44613.625</v>
      </c>
      <c r="Q51" s="2">
        <v>44613.208333333336</v>
      </c>
      <c r="R51" s="2">
        <v>44613.25</v>
      </c>
      <c r="S51" s="0">
        <v>60</v>
      </c>
      <c r="T51" s="0">
        <v>12</v>
      </c>
      <c r="U51" s="0">
        <v>42</v>
      </c>
      <c r="V51" s="0">
        <v>1175</v>
      </c>
      <c r="W51" s="1">
        <f>=HYPERLINK("10.175.1.14\MWEB.12\SEP\EntityDetails.10.175.1.14.MWEB.12.-dms2-Login..1175.xlsx", "&lt;Detail&gt;")</f>
      </c>
      <c r="X51" s="1">
        <f>=HYPERLINK("10.175.1.14\MWEB.12\SEP\MetricGraphs.SEP.10.175.1.14.MWEB.12.xlsx", "&lt;Metrics&gt;")</f>
      </c>
      <c r="Y51" s="0" t="s">
        <v>107</v>
      </c>
      <c r="Z51" s="0" t="s">
        <v>108</v>
      </c>
      <c r="AA51" s="0" t="s">
        <v>126</v>
      </c>
      <c r="AB51" s="0" t="s">
        <v>650</v>
      </c>
      <c r="AC51" s="0" t="s">
        <v>109</v>
      </c>
    </row>
    <row r="52">
      <c r="A52" s="0" t="s">
        <v>28</v>
      </c>
      <c r="B52" s="0" t="s">
        <v>30</v>
      </c>
      <c r="C52" s="0" t="s">
        <v>127</v>
      </c>
      <c r="D52" s="0" t="s">
        <v>253</v>
      </c>
      <c r="E52" s="0" t="s">
        <v>229</v>
      </c>
      <c r="F52" s="0">
        <v>0</v>
      </c>
      <c r="G52" s="0" t="s">
        <v>106</v>
      </c>
      <c r="H52" s="0">
        <v>0</v>
      </c>
      <c r="I52" s="0">
        <v>0</v>
      </c>
      <c r="J52" s="0">
        <v>0</v>
      </c>
      <c r="K52" s="0">
        <v>0</v>
      </c>
      <c r="L52" s="0">
        <v>0</v>
      </c>
      <c r="M52" s="0">
        <v>0</v>
      </c>
      <c r="N52" s="0" t="b">
        <v>0</v>
      </c>
      <c r="O52" s="2">
        <v>44613.583333333336</v>
      </c>
      <c r="P52" s="2">
        <v>44613.625</v>
      </c>
      <c r="Q52" s="2">
        <v>44613.208333333336</v>
      </c>
      <c r="R52" s="2">
        <v>44613.25</v>
      </c>
      <c r="S52" s="0">
        <v>60</v>
      </c>
      <c r="T52" s="0">
        <v>12</v>
      </c>
      <c r="U52" s="0">
        <v>39</v>
      </c>
      <c r="V52" s="0">
        <v>1195</v>
      </c>
      <c r="W52" s="1">
        <f>=HYPERLINK("10.175.1.14\MWEB.12\SEP\EntityDetails.10.175.1.14.MWEB.12.-dms2-Login..1195.xlsx", "&lt;Detail&gt;")</f>
      </c>
      <c r="X52" s="1">
        <f>=HYPERLINK("10.175.1.14\MWEB.12\SEP\MetricGraphs.SEP.10.175.1.14.MWEB.12.xlsx", "&lt;Metrics&gt;")</f>
      </c>
      <c r="Y52" s="0" t="s">
        <v>107</v>
      </c>
      <c r="Z52" s="0" t="s">
        <v>108</v>
      </c>
      <c r="AA52" s="0" t="s">
        <v>128</v>
      </c>
      <c r="AB52" s="0" t="s">
        <v>651</v>
      </c>
      <c r="AC52" s="0" t="s">
        <v>109</v>
      </c>
    </row>
    <row r="53">
      <c r="A53" s="0" t="s">
        <v>28</v>
      </c>
      <c r="B53" s="0" t="s">
        <v>30</v>
      </c>
      <c r="C53" s="0" t="s">
        <v>133</v>
      </c>
      <c r="D53" s="0" t="s">
        <v>253</v>
      </c>
      <c r="E53" s="0" t="s">
        <v>229</v>
      </c>
      <c r="F53" s="0">
        <v>0</v>
      </c>
      <c r="G53" s="0" t="s">
        <v>106</v>
      </c>
      <c r="H53" s="0">
        <v>0</v>
      </c>
      <c r="I53" s="0">
        <v>0</v>
      </c>
      <c r="J53" s="0">
        <v>0</v>
      </c>
      <c r="K53" s="0">
        <v>0</v>
      </c>
      <c r="L53" s="0">
        <v>0</v>
      </c>
      <c r="M53" s="0">
        <v>0</v>
      </c>
      <c r="N53" s="0" t="b">
        <v>0</v>
      </c>
      <c r="O53" s="2">
        <v>44613.583333333336</v>
      </c>
      <c r="P53" s="2">
        <v>44613.625</v>
      </c>
      <c r="Q53" s="2">
        <v>44613.208333333336</v>
      </c>
      <c r="R53" s="2">
        <v>44613.25</v>
      </c>
      <c r="S53" s="0">
        <v>60</v>
      </c>
      <c r="T53" s="0">
        <v>12</v>
      </c>
      <c r="U53" s="0">
        <v>36</v>
      </c>
      <c r="V53" s="0">
        <v>1222</v>
      </c>
      <c r="W53" s="1">
        <f>=HYPERLINK("10.175.1.14\MWEB.12\SEP\EntityDetails.10.175.1.14.MWEB.12.-dms2-Login..1222.xlsx", "&lt;Detail&gt;")</f>
      </c>
      <c r="X53" s="1">
        <f>=HYPERLINK("10.175.1.14\MWEB.12\SEP\MetricGraphs.SEP.10.175.1.14.MWEB.12.xlsx", "&lt;Metrics&gt;")</f>
      </c>
      <c r="Y53" s="0" t="s">
        <v>107</v>
      </c>
      <c r="Z53" s="0" t="s">
        <v>108</v>
      </c>
      <c r="AA53" s="0" t="s">
        <v>134</v>
      </c>
      <c r="AB53" s="0" t="s">
        <v>652</v>
      </c>
      <c r="AC53" s="0" t="s">
        <v>109</v>
      </c>
    </row>
    <row r="54">
      <c r="A54" s="0" t="s">
        <v>28</v>
      </c>
      <c r="B54" s="0" t="s">
        <v>30</v>
      </c>
      <c r="C54" s="0" t="s">
        <v>133</v>
      </c>
      <c r="D54" s="0" t="s">
        <v>653</v>
      </c>
      <c r="E54" s="0" t="s">
        <v>229</v>
      </c>
      <c r="F54" s="0">
        <v>0</v>
      </c>
      <c r="G54" s="0" t="s">
        <v>106</v>
      </c>
      <c r="H54" s="0">
        <v>0</v>
      </c>
      <c r="I54" s="0">
        <v>0</v>
      </c>
      <c r="J54" s="0">
        <v>0</v>
      </c>
      <c r="K54" s="0">
        <v>0</v>
      </c>
      <c r="L54" s="0">
        <v>0</v>
      </c>
      <c r="M54" s="0">
        <v>0</v>
      </c>
      <c r="N54" s="0" t="b">
        <v>0</v>
      </c>
      <c r="O54" s="2">
        <v>44613.583333333336</v>
      </c>
      <c r="P54" s="2">
        <v>44613.625</v>
      </c>
      <c r="Q54" s="2">
        <v>44613.208333333336</v>
      </c>
      <c r="R54" s="2">
        <v>44613.25</v>
      </c>
      <c r="S54" s="0">
        <v>60</v>
      </c>
      <c r="T54" s="0">
        <v>12</v>
      </c>
      <c r="U54" s="0">
        <v>36</v>
      </c>
      <c r="V54" s="0">
        <v>1250</v>
      </c>
      <c r="W54" s="1">
        <f>=HYPERLINK("10.175.1.14\MWEB.12\SEP\EntityDetails.10.175.1.14.MWEB.12.-dswsbobje-a.1250.xlsx", "&lt;Detail&gt;")</f>
      </c>
      <c r="X54" s="1">
        <f>=HYPERLINK("10.175.1.14\MWEB.12\SEP\MetricGraphs.SEP.10.175.1.14.MWEB.12.xlsx", "&lt;Metrics&gt;")</f>
      </c>
      <c r="Y54" s="0" t="s">
        <v>107</v>
      </c>
      <c r="Z54" s="0" t="s">
        <v>108</v>
      </c>
      <c r="AA54" s="0" t="s">
        <v>134</v>
      </c>
      <c r="AB54" s="0" t="s">
        <v>654</v>
      </c>
      <c r="AC54" s="0" t="s">
        <v>109</v>
      </c>
    </row>
    <row r="55">
      <c r="A55" s="0" t="s">
        <v>28</v>
      </c>
      <c r="B55" s="0" t="s">
        <v>30</v>
      </c>
      <c r="C55" s="0" t="s">
        <v>127</v>
      </c>
      <c r="D55" s="0" t="s">
        <v>655</v>
      </c>
      <c r="E55" s="0" t="s">
        <v>229</v>
      </c>
      <c r="F55" s="0">
        <v>0</v>
      </c>
      <c r="G55" s="0" t="s">
        <v>106</v>
      </c>
      <c r="H55" s="0">
        <v>0</v>
      </c>
      <c r="I55" s="0">
        <v>0</v>
      </c>
      <c r="J55" s="0">
        <v>0</v>
      </c>
      <c r="K55" s="0">
        <v>0</v>
      </c>
      <c r="L55" s="0">
        <v>0</v>
      </c>
      <c r="M55" s="0">
        <v>0</v>
      </c>
      <c r="N55" s="0" t="b">
        <v>0</v>
      </c>
      <c r="O55" s="2">
        <v>44613.583333333336</v>
      </c>
      <c r="P55" s="2">
        <v>44613.625</v>
      </c>
      <c r="Q55" s="2">
        <v>44613.208333333336</v>
      </c>
      <c r="R55" s="2">
        <v>44613.25</v>
      </c>
      <c r="S55" s="0">
        <v>60</v>
      </c>
      <c r="T55" s="0">
        <v>12</v>
      </c>
      <c r="U55" s="0">
        <v>39</v>
      </c>
      <c r="V55" s="0">
        <v>1211</v>
      </c>
      <c r="W55" s="1">
        <f>=HYPERLINK("10.175.1.14\MWEB.12\SEP\EntityDetails.10.175.1.14.MWEB.12.-f360-login..1211.xlsx", "&lt;Detail&gt;")</f>
      </c>
      <c r="X55" s="1">
        <f>=HYPERLINK("10.175.1.14\MWEB.12\SEP\MetricGraphs.SEP.10.175.1.14.MWEB.12.xlsx", "&lt;Metrics&gt;")</f>
      </c>
      <c r="Y55" s="0" t="s">
        <v>107</v>
      </c>
      <c r="Z55" s="0" t="s">
        <v>108</v>
      </c>
      <c r="AA55" s="0" t="s">
        <v>128</v>
      </c>
      <c r="AB55" s="0" t="s">
        <v>656</v>
      </c>
      <c r="AC55" s="0" t="s">
        <v>109</v>
      </c>
    </row>
    <row r="56">
      <c r="A56" s="0" t="s">
        <v>28</v>
      </c>
      <c r="B56" s="0" t="s">
        <v>30</v>
      </c>
      <c r="C56" s="0" t="s">
        <v>125</v>
      </c>
      <c r="D56" s="0" t="s">
        <v>261</v>
      </c>
      <c r="E56" s="0" t="s">
        <v>229</v>
      </c>
      <c r="F56" s="0">
        <v>0</v>
      </c>
      <c r="G56" s="0" t="s">
        <v>106</v>
      </c>
      <c r="H56" s="0">
        <v>0</v>
      </c>
      <c r="I56" s="0">
        <v>0</v>
      </c>
      <c r="J56" s="0">
        <v>0</v>
      </c>
      <c r="K56" s="0">
        <v>0</v>
      </c>
      <c r="L56" s="0">
        <v>0</v>
      </c>
      <c r="M56" s="0">
        <v>0</v>
      </c>
      <c r="N56" s="0" t="b">
        <v>0</v>
      </c>
      <c r="O56" s="2">
        <v>44613.583333333336</v>
      </c>
      <c r="P56" s="2">
        <v>44613.625</v>
      </c>
      <c r="Q56" s="2">
        <v>44613.208333333336</v>
      </c>
      <c r="R56" s="2">
        <v>44613.25</v>
      </c>
      <c r="S56" s="0">
        <v>60</v>
      </c>
      <c r="T56" s="0">
        <v>12</v>
      </c>
      <c r="U56" s="0">
        <v>42</v>
      </c>
      <c r="V56" s="0">
        <v>173</v>
      </c>
      <c r="W56" s="1">
        <f>=HYPERLINK("10.175.1.14\MWEB.12\SEP\EntityDetails.10.175.1.14.MWEB.12.-HealthMonit.173.xlsx", "&lt;Detail&gt;")</f>
      </c>
      <c r="X56" s="1">
        <f>=HYPERLINK("10.175.1.14\MWEB.12\SEP\MetricGraphs.SEP.10.175.1.14.MWEB.12.xlsx", "&lt;Metrics&gt;")</f>
      </c>
      <c r="Y56" s="0" t="s">
        <v>107</v>
      </c>
      <c r="Z56" s="0" t="s">
        <v>108</v>
      </c>
      <c r="AA56" s="0" t="s">
        <v>126</v>
      </c>
      <c r="AB56" s="0" t="s">
        <v>657</v>
      </c>
      <c r="AC56" s="0" t="s">
        <v>109</v>
      </c>
    </row>
    <row r="57">
      <c r="A57" s="0" t="s">
        <v>28</v>
      </c>
      <c r="B57" s="0" t="s">
        <v>30</v>
      </c>
      <c r="C57" s="0" t="s">
        <v>127</v>
      </c>
      <c r="D57" s="0" t="s">
        <v>261</v>
      </c>
      <c r="E57" s="0" t="s">
        <v>229</v>
      </c>
      <c r="F57" s="0">
        <v>0</v>
      </c>
      <c r="G57" s="0" t="s">
        <v>106</v>
      </c>
      <c r="H57" s="0">
        <v>0</v>
      </c>
      <c r="I57" s="0">
        <v>0</v>
      </c>
      <c r="J57" s="0">
        <v>0</v>
      </c>
      <c r="K57" s="0">
        <v>0</v>
      </c>
      <c r="L57" s="0">
        <v>0</v>
      </c>
      <c r="M57" s="0">
        <v>0</v>
      </c>
      <c r="N57" s="0" t="b">
        <v>0</v>
      </c>
      <c r="O57" s="2">
        <v>44613.583333333336</v>
      </c>
      <c r="P57" s="2">
        <v>44613.625</v>
      </c>
      <c r="Q57" s="2">
        <v>44613.208333333336</v>
      </c>
      <c r="R57" s="2">
        <v>44613.25</v>
      </c>
      <c r="S57" s="0">
        <v>60</v>
      </c>
      <c r="T57" s="0">
        <v>12</v>
      </c>
      <c r="U57" s="0">
        <v>39</v>
      </c>
      <c r="V57" s="0">
        <v>106</v>
      </c>
      <c r="W57" s="1">
        <f>=HYPERLINK("10.175.1.14\MWEB.12\SEP\EntityDetails.10.175.1.14.MWEB.12.-HealthMonit.106.xlsx", "&lt;Detail&gt;")</f>
      </c>
      <c r="X57" s="1">
        <f>=HYPERLINK("10.175.1.14\MWEB.12\SEP\MetricGraphs.SEP.10.175.1.14.MWEB.12.xlsx", "&lt;Metrics&gt;")</f>
      </c>
      <c r="Y57" s="0" t="s">
        <v>107</v>
      </c>
      <c r="Z57" s="0" t="s">
        <v>108</v>
      </c>
      <c r="AA57" s="0" t="s">
        <v>128</v>
      </c>
      <c r="AB57" s="0" t="s">
        <v>658</v>
      </c>
      <c r="AC57" s="0" t="s">
        <v>109</v>
      </c>
    </row>
    <row r="58">
      <c r="A58" s="0" t="s">
        <v>28</v>
      </c>
      <c r="B58" s="0" t="s">
        <v>30</v>
      </c>
      <c r="C58" s="0" t="s">
        <v>131</v>
      </c>
      <c r="D58" s="0" t="s">
        <v>261</v>
      </c>
      <c r="E58" s="0" t="s">
        <v>229</v>
      </c>
      <c r="F58" s="0">
        <v>0</v>
      </c>
      <c r="G58" s="0" t="s">
        <v>106</v>
      </c>
      <c r="H58" s="0">
        <v>0</v>
      </c>
      <c r="I58" s="0">
        <v>0</v>
      </c>
      <c r="J58" s="0">
        <v>0</v>
      </c>
      <c r="K58" s="0">
        <v>0</v>
      </c>
      <c r="L58" s="0">
        <v>0</v>
      </c>
      <c r="M58" s="0">
        <v>0</v>
      </c>
      <c r="N58" s="0" t="b">
        <v>0</v>
      </c>
      <c r="O58" s="2">
        <v>44613.583333333336</v>
      </c>
      <c r="P58" s="2">
        <v>44613.625</v>
      </c>
      <c r="Q58" s="2">
        <v>44613.208333333336</v>
      </c>
      <c r="R58" s="2">
        <v>44613.25</v>
      </c>
      <c r="S58" s="0">
        <v>60</v>
      </c>
      <c r="T58" s="0">
        <v>12</v>
      </c>
      <c r="U58" s="0">
        <v>40</v>
      </c>
      <c r="V58" s="0">
        <v>359</v>
      </c>
      <c r="W58" s="1">
        <f>=HYPERLINK("10.175.1.14\MWEB.12\SEP\EntityDetails.10.175.1.14.MWEB.12.-HealthMonit.359.xlsx", "&lt;Detail&gt;")</f>
      </c>
      <c r="X58" s="1">
        <f>=HYPERLINK("10.175.1.14\MWEB.12\SEP\MetricGraphs.SEP.10.175.1.14.MWEB.12.xlsx", "&lt;Metrics&gt;")</f>
      </c>
      <c r="Y58" s="0" t="s">
        <v>107</v>
      </c>
      <c r="Z58" s="0" t="s">
        <v>108</v>
      </c>
      <c r="AA58" s="0" t="s">
        <v>132</v>
      </c>
      <c r="AB58" s="0" t="s">
        <v>659</v>
      </c>
      <c r="AC58" s="0" t="s">
        <v>109</v>
      </c>
    </row>
    <row r="59">
      <c r="A59" s="0" t="s">
        <v>28</v>
      </c>
      <c r="B59" s="0" t="s">
        <v>30</v>
      </c>
      <c r="C59" s="0" t="s">
        <v>133</v>
      </c>
      <c r="D59" s="0" t="s">
        <v>261</v>
      </c>
      <c r="E59" s="0" t="s">
        <v>229</v>
      </c>
      <c r="F59" s="0">
        <v>0</v>
      </c>
      <c r="G59" s="0" t="s">
        <v>106</v>
      </c>
      <c r="H59" s="0">
        <v>0</v>
      </c>
      <c r="I59" s="0">
        <v>0</v>
      </c>
      <c r="J59" s="0">
        <v>0</v>
      </c>
      <c r="K59" s="0">
        <v>0</v>
      </c>
      <c r="L59" s="0">
        <v>0</v>
      </c>
      <c r="M59" s="0">
        <v>0</v>
      </c>
      <c r="N59" s="0" t="b">
        <v>0</v>
      </c>
      <c r="O59" s="2">
        <v>44613.583333333336</v>
      </c>
      <c r="P59" s="2">
        <v>44613.625</v>
      </c>
      <c r="Q59" s="2">
        <v>44613.208333333336</v>
      </c>
      <c r="R59" s="2">
        <v>44613.25</v>
      </c>
      <c r="S59" s="0">
        <v>60</v>
      </c>
      <c r="T59" s="0">
        <v>12</v>
      </c>
      <c r="U59" s="0">
        <v>36</v>
      </c>
      <c r="V59" s="0">
        <v>174</v>
      </c>
      <c r="W59" s="1">
        <f>=HYPERLINK("10.175.1.14\MWEB.12\SEP\EntityDetails.10.175.1.14.MWEB.12.-HealthMonit.174.xlsx", "&lt;Detail&gt;")</f>
      </c>
      <c r="X59" s="1">
        <f>=HYPERLINK("10.175.1.14\MWEB.12\SEP\MetricGraphs.SEP.10.175.1.14.MWEB.12.xlsx", "&lt;Metrics&gt;")</f>
      </c>
      <c r="Y59" s="0" t="s">
        <v>107</v>
      </c>
      <c r="Z59" s="0" t="s">
        <v>108</v>
      </c>
      <c r="AA59" s="0" t="s">
        <v>134</v>
      </c>
      <c r="AB59" s="0" t="s">
        <v>660</v>
      </c>
      <c r="AC59" s="0" t="s">
        <v>109</v>
      </c>
    </row>
    <row r="60">
      <c r="A60" s="0" t="s">
        <v>28</v>
      </c>
      <c r="B60" s="0" t="s">
        <v>30</v>
      </c>
      <c r="C60" s="0" t="s">
        <v>135</v>
      </c>
      <c r="D60" s="0" t="s">
        <v>261</v>
      </c>
      <c r="E60" s="0" t="s">
        <v>229</v>
      </c>
      <c r="F60" s="0">
        <v>0</v>
      </c>
      <c r="G60" s="0" t="s">
        <v>106</v>
      </c>
      <c r="H60" s="0">
        <v>0</v>
      </c>
      <c r="I60" s="0">
        <v>0</v>
      </c>
      <c r="J60" s="0">
        <v>0</v>
      </c>
      <c r="K60" s="0">
        <v>0</v>
      </c>
      <c r="L60" s="0">
        <v>0</v>
      </c>
      <c r="M60" s="0">
        <v>0</v>
      </c>
      <c r="N60" s="0" t="b">
        <v>0</v>
      </c>
      <c r="O60" s="2">
        <v>44613.583333333336</v>
      </c>
      <c r="P60" s="2">
        <v>44613.625</v>
      </c>
      <c r="Q60" s="2">
        <v>44613.208333333336</v>
      </c>
      <c r="R60" s="2">
        <v>44613.25</v>
      </c>
      <c r="S60" s="0">
        <v>60</v>
      </c>
      <c r="T60" s="0">
        <v>12</v>
      </c>
      <c r="U60" s="0">
        <v>37</v>
      </c>
      <c r="V60" s="0">
        <v>295</v>
      </c>
      <c r="W60" s="1">
        <f>=HYPERLINK("10.175.1.14\MWEB.12\SEP\EntityDetails.10.175.1.14.MWEB.12.-HealthMonit.295.xlsx", "&lt;Detail&gt;")</f>
      </c>
      <c r="X60" s="1">
        <f>=HYPERLINK("10.175.1.14\MWEB.12\SEP\MetricGraphs.SEP.10.175.1.14.MWEB.12.xlsx", "&lt;Metrics&gt;")</f>
      </c>
      <c r="Y60" s="0" t="s">
        <v>107</v>
      </c>
      <c r="Z60" s="0" t="s">
        <v>108</v>
      </c>
      <c r="AA60" s="0" t="s">
        <v>136</v>
      </c>
      <c r="AB60" s="0" t="s">
        <v>661</v>
      </c>
      <c r="AC60" s="0" t="s">
        <v>109</v>
      </c>
    </row>
    <row r="61">
      <c r="A61" s="0" t="s">
        <v>28</v>
      </c>
      <c r="B61" s="0" t="s">
        <v>30</v>
      </c>
      <c r="C61" s="0" t="s">
        <v>137</v>
      </c>
      <c r="D61" s="0" t="s">
        <v>261</v>
      </c>
      <c r="E61" s="0" t="s">
        <v>229</v>
      </c>
      <c r="F61" s="0">
        <v>0</v>
      </c>
      <c r="G61" s="0" t="s">
        <v>106</v>
      </c>
      <c r="H61" s="0">
        <v>0</v>
      </c>
      <c r="I61" s="0">
        <v>0</v>
      </c>
      <c r="J61" s="0">
        <v>0</v>
      </c>
      <c r="K61" s="0">
        <v>0</v>
      </c>
      <c r="L61" s="0">
        <v>0</v>
      </c>
      <c r="M61" s="0">
        <v>0</v>
      </c>
      <c r="N61" s="0" t="b">
        <v>0</v>
      </c>
      <c r="O61" s="2">
        <v>44613.583333333336</v>
      </c>
      <c r="P61" s="2">
        <v>44613.625</v>
      </c>
      <c r="Q61" s="2">
        <v>44613.208333333336</v>
      </c>
      <c r="R61" s="2">
        <v>44613.25</v>
      </c>
      <c r="S61" s="0">
        <v>60</v>
      </c>
      <c r="T61" s="0">
        <v>12</v>
      </c>
      <c r="U61" s="0">
        <v>38</v>
      </c>
      <c r="V61" s="0">
        <v>297</v>
      </c>
      <c r="W61" s="1">
        <f>=HYPERLINK("10.175.1.14\MWEB.12\SEP\EntityDetails.10.175.1.14.MWEB.12.-HealthMonit.297.xlsx", "&lt;Detail&gt;")</f>
      </c>
      <c r="X61" s="1">
        <f>=HYPERLINK("10.175.1.14\MWEB.12\SEP\MetricGraphs.SEP.10.175.1.14.MWEB.12.xlsx", "&lt;Metrics&gt;")</f>
      </c>
      <c r="Y61" s="0" t="s">
        <v>107</v>
      </c>
      <c r="Z61" s="0" t="s">
        <v>108</v>
      </c>
      <c r="AA61" s="0" t="s">
        <v>138</v>
      </c>
      <c r="AB61" s="0" t="s">
        <v>662</v>
      </c>
      <c r="AC61" s="0" t="s">
        <v>109</v>
      </c>
    </row>
    <row r="62">
      <c r="A62" s="0" t="s">
        <v>28</v>
      </c>
      <c r="B62" s="0" t="s">
        <v>30</v>
      </c>
      <c r="C62" s="0" t="s">
        <v>147</v>
      </c>
      <c r="D62" s="0" t="s">
        <v>261</v>
      </c>
      <c r="E62" s="0" t="s">
        <v>229</v>
      </c>
      <c r="F62" s="0">
        <v>0</v>
      </c>
      <c r="G62" s="0" t="s">
        <v>106</v>
      </c>
      <c r="H62" s="0">
        <v>0</v>
      </c>
      <c r="I62" s="0">
        <v>0</v>
      </c>
      <c r="J62" s="0">
        <v>0</v>
      </c>
      <c r="K62" s="0">
        <v>0</v>
      </c>
      <c r="L62" s="0">
        <v>0</v>
      </c>
      <c r="M62" s="0">
        <v>0</v>
      </c>
      <c r="N62" s="0" t="b">
        <v>0</v>
      </c>
      <c r="O62" s="2">
        <v>44613.583333333336</v>
      </c>
      <c r="P62" s="2">
        <v>44613.625</v>
      </c>
      <c r="Q62" s="2">
        <v>44613.208333333336</v>
      </c>
      <c r="R62" s="2">
        <v>44613.25</v>
      </c>
      <c r="S62" s="0">
        <v>60</v>
      </c>
      <c r="T62" s="0">
        <v>12</v>
      </c>
      <c r="U62" s="0">
        <v>49</v>
      </c>
      <c r="V62" s="0">
        <v>1956</v>
      </c>
      <c r="W62" s="1">
        <f>=HYPERLINK("10.175.1.14\MWEB.12\SEP\EntityDetails.10.175.1.14.MWEB.12.-HealthMonit.1956.xlsx", "&lt;Detail&gt;")</f>
      </c>
      <c r="X62" s="1">
        <f>=HYPERLINK("10.175.1.14\MWEB.12\SEP\MetricGraphs.SEP.10.175.1.14.MWEB.12.xlsx", "&lt;Metrics&gt;")</f>
      </c>
      <c r="Y62" s="0" t="s">
        <v>107</v>
      </c>
      <c r="Z62" s="0" t="s">
        <v>108</v>
      </c>
      <c r="AA62" s="0" t="s">
        <v>148</v>
      </c>
      <c r="AB62" s="0" t="s">
        <v>663</v>
      </c>
      <c r="AC62" s="0" t="s">
        <v>109</v>
      </c>
    </row>
    <row r="63">
      <c r="A63" s="0" t="s">
        <v>28</v>
      </c>
      <c r="B63" s="0" t="s">
        <v>30</v>
      </c>
      <c r="C63" s="0" t="s">
        <v>149</v>
      </c>
      <c r="D63" s="0" t="s">
        <v>261</v>
      </c>
      <c r="E63" s="0" t="s">
        <v>229</v>
      </c>
      <c r="F63" s="0">
        <v>0</v>
      </c>
      <c r="G63" s="0" t="s">
        <v>106</v>
      </c>
      <c r="H63" s="0">
        <v>0</v>
      </c>
      <c r="I63" s="0">
        <v>0</v>
      </c>
      <c r="J63" s="0">
        <v>0</v>
      </c>
      <c r="K63" s="0">
        <v>0</v>
      </c>
      <c r="L63" s="0">
        <v>0</v>
      </c>
      <c r="M63" s="0">
        <v>0</v>
      </c>
      <c r="N63" s="0" t="b">
        <v>0</v>
      </c>
      <c r="O63" s="2">
        <v>44613.583333333336</v>
      </c>
      <c r="P63" s="2">
        <v>44613.625</v>
      </c>
      <c r="Q63" s="2">
        <v>44613.208333333336</v>
      </c>
      <c r="R63" s="2">
        <v>44613.25</v>
      </c>
      <c r="S63" s="0">
        <v>60</v>
      </c>
      <c r="T63" s="0">
        <v>12</v>
      </c>
      <c r="U63" s="0">
        <v>50</v>
      </c>
      <c r="V63" s="0">
        <v>1957</v>
      </c>
      <c r="W63" s="1">
        <f>=HYPERLINK("10.175.1.14\MWEB.12\SEP\EntityDetails.10.175.1.14.MWEB.12.-HealthMonit.1957.xlsx", "&lt;Detail&gt;")</f>
      </c>
      <c r="X63" s="1">
        <f>=HYPERLINK("10.175.1.14\MWEB.12\SEP\MetricGraphs.SEP.10.175.1.14.MWEB.12.xlsx", "&lt;Metrics&gt;")</f>
      </c>
      <c r="Y63" s="0" t="s">
        <v>107</v>
      </c>
      <c r="Z63" s="0" t="s">
        <v>108</v>
      </c>
      <c r="AA63" s="0" t="s">
        <v>150</v>
      </c>
      <c r="AB63" s="0" t="s">
        <v>664</v>
      </c>
      <c r="AC63" s="0" t="s">
        <v>109</v>
      </c>
    </row>
    <row r="64">
      <c r="A64" s="0" t="s">
        <v>28</v>
      </c>
      <c r="B64" s="0" t="s">
        <v>30</v>
      </c>
      <c r="C64" s="0" t="s">
        <v>153</v>
      </c>
      <c r="D64" s="0" t="s">
        <v>261</v>
      </c>
      <c r="E64" s="0" t="s">
        <v>229</v>
      </c>
      <c r="F64" s="0">
        <v>0</v>
      </c>
      <c r="G64" s="0" t="s">
        <v>106</v>
      </c>
      <c r="H64" s="0">
        <v>0</v>
      </c>
      <c r="I64" s="0">
        <v>0</v>
      </c>
      <c r="J64" s="0">
        <v>0</v>
      </c>
      <c r="K64" s="0">
        <v>0</v>
      </c>
      <c r="L64" s="0">
        <v>0</v>
      </c>
      <c r="M64" s="0">
        <v>0</v>
      </c>
      <c r="N64" s="0" t="b">
        <v>0</v>
      </c>
      <c r="O64" s="2">
        <v>44613.583333333336</v>
      </c>
      <c r="P64" s="2">
        <v>44613.625</v>
      </c>
      <c r="Q64" s="2">
        <v>44613.208333333336</v>
      </c>
      <c r="R64" s="2">
        <v>44613.25</v>
      </c>
      <c r="S64" s="0">
        <v>60</v>
      </c>
      <c r="T64" s="0">
        <v>12</v>
      </c>
      <c r="U64" s="0">
        <v>51</v>
      </c>
      <c r="V64" s="0">
        <v>1958</v>
      </c>
      <c r="W64" s="1">
        <f>=HYPERLINK("10.175.1.14\MWEB.12\SEP\EntityDetails.10.175.1.14.MWEB.12.-HealthMonit.1958.xlsx", "&lt;Detail&gt;")</f>
      </c>
      <c r="X64" s="1">
        <f>=HYPERLINK("10.175.1.14\MWEB.12\SEP\MetricGraphs.SEP.10.175.1.14.MWEB.12.xlsx", "&lt;Metrics&gt;")</f>
      </c>
      <c r="Y64" s="0" t="s">
        <v>107</v>
      </c>
      <c r="Z64" s="0" t="s">
        <v>108</v>
      </c>
      <c r="AA64" s="0" t="s">
        <v>154</v>
      </c>
      <c r="AB64" s="0" t="s">
        <v>665</v>
      </c>
      <c r="AC64" s="0" t="s">
        <v>109</v>
      </c>
    </row>
    <row r="65">
      <c r="A65" s="0" t="s">
        <v>28</v>
      </c>
      <c r="B65" s="0" t="s">
        <v>30</v>
      </c>
      <c r="C65" s="0" t="s">
        <v>155</v>
      </c>
      <c r="D65" s="0" t="s">
        <v>261</v>
      </c>
      <c r="E65" s="0" t="s">
        <v>229</v>
      </c>
      <c r="F65" s="0">
        <v>0</v>
      </c>
      <c r="G65" s="0" t="s">
        <v>106</v>
      </c>
      <c r="H65" s="0">
        <v>0</v>
      </c>
      <c r="I65" s="0">
        <v>0</v>
      </c>
      <c r="J65" s="0">
        <v>0</v>
      </c>
      <c r="K65" s="0">
        <v>0</v>
      </c>
      <c r="L65" s="0">
        <v>0</v>
      </c>
      <c r="M65" s="0">
        <v>0</v>
      </c>
      <c r="N65" s="0" t="b">
        <v>0</v>
      </c>
      <c r="O65" s="2">
        <v>44613.583333333336</v>
      </c>
      <c r="P65" s="2">
        <v>44613.625</v>
      </c>
      <c r="Q65" s="2">
        <v>44613.208333333336</v>
      </c>
      <c r="R65" s="2">
        <v>44613.25</v>
      </c>
      <c r="S65" s="0">
        <v>60</v>
      </c>
      <c r="T65" s="0">
        <v>12</v>
      </c>
      <c r="U65" s="0">
        <v>54</v>
      </c>
      <c r="V65" s="0">
        <v>2066</v>
      </c>
      <c r="W65" s="1">
        <f>=HYPERLINK("10.175.1.14\MWEB.12\SEP\EntityDetails.10.175.1.14.MWEB.12.-HealthMonit.2066.xlsx", "&lt;Detail&gt;")</f>
      </c>
      <c r="X65" s="1">
        <f>=HYPERLINK("10.175.1.14\MWEB.12\SEP\MetricGraphs.SEP.10.175.1.14.MWEB.12.xlsx", "&lt;Metrics&gt;")</f>
      </c>
      <c r="Y65" s="0" t="s">
        <v>107</v>
      </c>
      <c r="Z65" s="0" t="s">
        <v>108</v>
      </c>
      <c r="AA65" s="0" t="s">
        <v>156</v>
      </c>
      <c r="AB65" s="0" t="s">
        <v>666</v>
      </c>
      <c r="AC65" s="0" t="s">
        <v>109</v>
      </c>
    </row>
    <row r="66">
      <c r="A66" s="0" t="s">
        <v>28</v>
      </c>
      <c r="B66" s="0" t="s">
        <v>30</v>
      </c>
      <c r="C66" s="0" t="s">
        <v>157</v>
      </c>
      <c r="D66" s="0" t="s">
        <v>261</v>
      </c>
      <c r="E66" s="0" t="s">
        <v>229</v>
      </c>
      <c r="F66" s="0">
        <v>0</v>
      </c>
      <c r="G66" s="0" t="s">
        <v>106</v>
      </c>
      <c r="H66" s="0">
        <v>0</v>
      </c>
      <c r="I66" s="0">
        <v>0</v>
      </c>
      <c r="J66" s="0">
        <v>0</v>
      </c>
      <c r="K66" s="0">
        <v>0</v>
      </c>
      <c r="L66" s="0">
        <v>0</v>
      </c>
      <c r="M66" s="0">
        <v>0</v>
      </c>
      <c r="N66" s="0" t="b">
        <v>0</v>
      </c>
      <c r="O66" s="2">
        <v>44613.583333333336</v>
      </c>
      <c r="P66" s="2">
        <v>44613.625</v>
      </c>
      <c r="Q66" s="2">
        <v>44613.208333333336</v>
      </c>
      <c r="R66" s="2">
        <v>44613.25</v>
      </c>
      <c r="S66" s="0">
        <v>60</v>
      </c>
      <c r="T66" s="0">
        <v>12</v>
      </c>
      <c r="U66" s="0">
        <v>53</v>
      </c>
      <c r="V66" s="0">
        <v>1962</v>
      </c>
      <c r="W66" s="1">
        <f>=HYPERLINK("10.175.1.14\MWEB.12\SEP\EntityDetails.10.175.1.14.MWEB.12.-HealthMonit.1962.xlsx", "&lt;Detail&gt;")</f>
      </c>
      <c r="X66" s="1">
        <f>=HYPERLINK("10.175.1.14\MWEB.12\SEP\MetricGraphs.SEP.10.175.1.14.MWEB.12.xlsx", "&lt;Metrics&gt;")</f>
      </c>
      <c r="Y66" s="0" t="s">
        <v>107</v>
      </c>
      <c r="Z66" s="0" t="s">
        <v>108</v>
      </c>
      <c r="AA66" s="0" t="s">
        <v>158</v>
      </c>
      <c r="AB66" s="0" t="s">
        <v>667</v>
      </c>
      <c r="AC66" s="0" t="s">
        <v>109</v>
      </c>
    </row>
    <row r="67">
      <c r="A67" s="0" t="s">
        <v>28</v>
      </c>
      <c r="B67" s="0" t="s">
        <v>30</v>
      </c>
      <c r="C67" s="0" t="s">
        <v>159</v>
      </c>
      <c r="D67" s="0" t="s">
        <v>261</v>
      </c>
      <c r="E67" s="0" t="s">
        <v>229</v>
      </c>
      <c r="F67" s="0">
        <v>0</v>
      </c>
      <c r="G67" s="0" t="s">
        <v>106</v>
      </c>
      <c r="H67" s="0">
        <v>0</v>
      </c>
      <c r="I67" s="0">
        <v>0</v>
      </c>
      <c r="J67" s="0">
        <v>0</v>
      </c>
      <c r="K67" s="0">
        <v>0</v>
      </c>
      <c r="L67" s="0">
        <v>0</v>
      </c>
      <c r="M67" s="0">
        <v>0</v>
      </c>
      <c r="N67" s="0" t="b">
        <v>0</v>
      </c>
      <c r="O67" s="2">
        <v>44613.583333333336</v>
      </c>
      <c r="P67" s="2">
        <v>44613.625</v>
      </c>
      <c r="Q67" s="2">
        <v>44613.208333333336</v>
      </c>
      <c r="R67" s="2">
        <v>44613.25</v>
      </c>
      <c r="S67" s="0">
        <v>60</v>
      </c>
      <c r="T67" s="0">
        <v>12</v>
      </c>
      <c r="U67" s="0">
        <v>56</v>
      </c>
      <c r="V67" s="0">
        <v>2059</v>
      </c>
      <c r="W67" s="1">
        <f>=HYPERLINK("10.175.1.14\MWEB.12\SEP\EntityDetails.10.175.1.14.MWEB.12.-HealthMonit.2059.xlsx", "&lt;Detail&gt;")</f>
      </c>
      <c r="X67" s="1">
        <f>=HYPERLINK("10.175.1.14\MWEB.12\SEP\MetricGraphs.SEP.10.175.1.14.MWEB.12.xlsx", "&lt;Metrics&gt;")</f>
      </c>
      <c r="Y67" s="0" t="s">
        <v>107</v>
      </c>
      <c r="Z67" s="0" t="s">
        <v>108</v>
      </c>
      <c r="AA67" s="0" t="s">
        <v>160</v>
      </c>
      <c r="AB67" s="0" t="s">
        <v>668</v>
      </c>
      <c r="AC67" s="0" t="s">
        <v>109</v>
      </c>
    </row>
    <row r="68">
      <c r="A68" s="0" t="s">
        <v>28</v>
      </c>
      <c r="B68" s="0" t="s">
        <v>30</v>
      </c>
      <c r="C68" s="0" t="s">
        <v>127</v>
      </c>
      <c r="D68" s="0" t="s">
        <v>669</v>
      </c>
      <c r="E68" s="0" t="s">
        <v>229</v>
      </c>
      <c r="F68" s="0">
        <v>0</v>
      </c>
      <c r="G68" s="0" t="s">
        <v>106</v>
      </c>
      <c r="H68" s="0">
        <v>0</v>
      </c>
      <c r="I68" s="0">
        <v>0</v>
      </c>
      <c r="J68" s="0">
        <v>0</v>
      </c>
      <c r="K68" s="0">
        <v>0</v>
      </c>
      <c r="L68" s="0">
        <v>0</v>
      </c>
      <c r="M68" s="0">
        <v>0</v>
      </c>
      <c r="N68" s="0" t="b">
        <v>0</v>
      </c>
      <c r="O68" s="2">
        <v>44613.583333333336</v>
      </c>
      <c r="P68" s="2">
        <v>44613.625</v>
      </c>
      <c r="Q68" s="2">
        <v>44613.208333333336</v>
      </c>
      <c r="R68" s="2">
        <v>44613.25</v>
      </c>
      <c r="S68" s="0">
        <v>60</v>
      </c>
      <c r="T68" s="0">
        <v>12</v>
      </c>
      <c r="U68" s="0">
        <v>39</v>
      </c>
      <c r="V68" s="0">
        <v>1213</v>
      </c>
      <c r="W68" s="1">
        <f>=HYPERLINK("10.175.1.14\MWEB.12\SEP\EntityDetails.10.175.1.14.MWEB.12.-IDMProv-jsp.1213.xlsx", "&lt;Detail&gt;")</f>
      </c>
      <c r="X68" s="1">
        <f>=HYPERLINK("10.175.1.14\MWEB.12\SEP\MetricGraphs.SEP.10.175.1.14.MWEB.12.xlsx", "&lt;Metrics&gt;")</f>
      </c>
      <c r="Y68" s="0" t="s">
        <v>107</v>
      </c>
      <c r="Z68" s="0" t="s">
        <v>108</v>
      </c>
      <c r="AA68" s="0" t="s">
        <v>128</v>
      </c>
      <c r="AB68" s="0" t="s">
        <v>670</v>
      </c>
      <c r="AC68" s="0" t="s">
        <v>109</v>
      </c>
    </row>
    <row r="69">
      <c r="A69" s="0" t="s">
        <v>28</v>
      </c>
      <c r="B69" s="0" t="s">
        <v>30</v>
      </c>
      <c r="C69" s="0" t="s">
        <v>125</v>
      </c>
      <c r="D69" s="0" t="s">
        <v>671</v>
      </c>
      <c r="E69" s="0" t="s">
        <v>229</v>
      </c>
      <c r="F69" s="0">
        <v>0</v>
      </c>
      <c r="G69" s="0" t="s">
        <v>106</v>
      </c>
      <c r="H69" s="0">
        <v>0</v>
      </c>
      <c r="I69" s="0">
        <v>0</v>
      </c>
      <c r="J69" s="0">
        <v>0</v>
      </c>
      <c r="K69" s="0">
        <v>0</v>
      </c>
      <c r="L69" s="0">
        <v>0</v>
      </c>
      <c r="M69" s="0">
        <v>0</v>
      </c>
      <c r="N69" s="0" t="b">
        <v>0</v>
      </c>
      <c r="O69" s="2">
        <v>44613.583333333336</v>
      </c>
      <c r="P69" s="2">
        <v>44613.625</v>
      </c>
      <c r="Q69" s="2">
        <v>44613.208333333336</v>
      </c>
      <c r="R69" s="2">
        <v>44613.25</v>
      </c>
      <c r="S69" s="0">
        <v>60</v>
      </c>
      <c r="T69" s="0">
        <v>12</v>
      </c>
      <c r="U69" s="0">
        <v>42</v>
      </c>
      <c r="V69" s="0">
        <v>334</v>
      </c>
      <c r="W69" s="1">
        <f>=HYPERLINK("10.175.1.14\MWEB.12\SEP\EntityDetails.10.175.1.14.MWEB.12.-if-CGI_get_.334.xlsx", "&lt;Detail&gt;")</f>
      </c>
      <c r="X69" s="1">
        <f>=HYPERLINK("10.175.1.14\MWEB.12\SEP\MetricGraphs.SEP.10.175.1.14.MWEB.12.xlsx", "&lt;Metrics&gt;")</f>
      </c>
      <c r="Y69" s="0" t="s">
        <v>107</v>
      </c>
      <c r="Z69" s="0" t="s">
        <v>108</v>
      </c>
      <c r="AA69" s="0" t="s">
        <v>126</v>
      </c>
      <c r="AB69" s="0" t="s">
        <v>672</v>
      </c>
      <c r="AC69" s="0" t="s">
        <v>109</v>
      </c>
    </row>
    <row r="70">
      <c r="A70" s="0" t="s">
        <v>28</v>
      </c>
      <c r="B70" s="0" t="s">
        <v>30</v>
      </c>
      <c r="C70" s="0" t="s">
        <v>133</v>
      </c>
      <c r="D70" s="0" t="s">
        <v>671</v>
      </c>
      <c r="E70" s="0" t="s">
        <v>229</v>
      </c>
      <c r="F70" s="0">
        <v>0</v>
      </c>
      <c r="G70" s="0" t="s">
        <v>106</v>
      </c>
      <c r="H70" s="0">
        <v>0</v>
      </c>
      <c r="I70" s="0">
        <v>0</v>
      </c>
      <c r="J70" s="0">
        <v>0</v>
      </c>
      <c r="K70" s="0">
        <v>0</v>
      </c>
      <c r="L70" s="0">
        <v>0</v>
      </c>
      <c r="M70" s="0">
        <v>0</v>
      </c>
      <c r="N70" s="0" t="b">
        <v>0</v>
      </c>
      <c r="O70" s="2">
        <v>44613.583333333336</v>
      </c>
      <c r="P70" s="2">
        <v>44613.625</v>
      </c>
      <c r="Q70" s="2">
        <v>44613.208333333336</v>
      </c>
      <c r="R70" s="2">
        <v>44613.25</v>
      </c>
      <c r="S70" s="0">
        <v>60</v>
      </c>
      <c r="T70" s="0">
        <v>12</v>
      </c>
      <c r="U70" s="0">
        <v>36</v>
      </c>
      <c r="V70" s="0">
        <v>421</v>
      </c>
      <c r="W70" s="1">
        <f>=HYPERLINK("10.175.1.14\MWEB.12\SEP\EntityDetails.10.175.1.14.MWEB.12.-if-CGI_get_.421.xlsx", "&lt;Detail&gt;")</f>
      </c>
      <c r="X70" s="1">
        <f>=HYPERLINK("10.175.1.14\MWEB.12\SEP\MetricGraphs.SEP.10.175.1.14.MWEB.12.xlsx", "&lt;Metrics&gt;")</f>
      </c>
      <c r="Y70" s="0" t="s">
        <v>107</v>
      </c>
      <c r="Z70" s="0" t="s">
        <v>108</v>
      </c>
      <c r="AA70" s="0" t="s">
        <v>134</v>
      </c>
      <c r="AB70" s="0" t="s">
        <v>673</v>
      </c>
      <c r="AC70" s="0" t="s">
        <v>109</v>
      </c>
    </row>
    <row r="71">
      <c r="A71" s="0" t="s">
        <v>28</v>
      </c>
      <c r="B71" s="0" t="s">
        <v>30</v>
      </c>
      <c r="C71" s="0" t="s">
        <v>133</v>
      </c>
      <c r="D71" s="0" t="s">
        <v>674</v>
      </c>
      <c r="E71" s="0" t="s">
        <v>229</v>
      </c>
      <c r="F71" s="0">
        <v>0</v>
      </c>
      <c r="G71" s="0" t="s">
        <v>106</v>
      </c>
      <c r="H71" s="0">
        <v>0</v>
      </c>
      <c r="I71" s="0">
        <v>0</v>
      </c>
      <c r="J71" s="0">
        <v>0</v>
      </c>
      <c r="K71" s="0">
        <v>0</v>
      </c>
      <c r="L71" s="0">
        <v>0</v>
      </c>
      <c r="M71" s="0">
        <v>0</v>
      </c>
      <c r="N71" s="0" t="b">
        <v>0</v>
      </c>
      <c r="O71" s="2">
        <v>44613.583333333336</v>
      </c>
      <c r="P71" s="2">
        <v>44613.625</v>
      </c>
      <c r="Q71" s="2">
        <v>44613.208333333336</v>
      </c>
      <c r="R71" s="2">
        <v>44613.25</v>
      </c>
      <c r="S71" s="0">
        <v>60</v>
      </c>
      <c r="T71" s="0">
        <v>12</v>
      </c>
      <c r="U71" s="0">
        <v>36</v>
      </c>
      <c r="V71" s="0">
        <v>1248</v>
      </c>
      <c r="W71" s="1">
        <f>=HYPERLINK("10.175.1.14\MWEB.12\SEP\EntityDetails.10.175.1.14.MWEB.12.-imcws-axis2.1248.xlsx", "&lt;Detail&gt;")</f>
      </c>
      <c r="X71" s="1">
        <f>=HYPERLINK("10.175.1.14\MWEB.12\SEP\MetricGraphs.SEP.10.175.1.14.MWEB.12.xlsx", "&lt;Metrics&gt;")</f>
      </c>
      <c r="Y71" s="0" t="s">
        <v>107</v>
      </c>
      <c r="Z71" s="0" t="s">
        <v>108</v>
      </c>
      <c r="AA71" s="0" t="s">
        <v>134</v>
      </c>
      <c r="AB71" s="0" t="s">
        <v>675</v>
      </c>
      <c r="AC71" s="0" t="s">
        <v>109</v>
      </c>
    </row>
    <row r="72">
      <c r="A72" s="0" t="s">
        <v>28</v>
      </c>
      <c r="B72" s="0" t="s">
        <v>30</v>
      </c>
      <c r="C72" s="0" t="s">
        <v>149</v>
      </c>
      <c r="D72" s="0" t="s">
        <v>676</v>
      </c>
      <c r="E72" s="0" t="s">
        <v>229</v>
      </c>
      <c r="F72" s="0">
        <v>0</v>
      </c>
      <c r="G72" s="0" t="s">
        <v>106</v>
      </c>
      <c r="H72" s="0">
        <v>0</v>
      </c>
      <c r="I72" s="0">
        <v>0</v>
      </c>
      <c r="J72" s="0">
        <v>0</v>
      </c>
      <c r="K72" s="0">
        <v>0</v>
      </c>
      <c r="L72" s="0">
        <v>0</v>
      </c>
      <c r="M72" s="0">
        <v>0</v>
      </c>
      <c r="N72" s="0" t="b">
        <v>0</v>
      </c>
      <c r="O72" s="2">
        <v>44613.583333333336</v>
      </c>
      <c r="P72" s="2">
        <v>44613.625</v>
      </c>
      <c r="Q72" s="2">
        <v>44613.208333333336</v>
      </c>
      <c r="R72" s="2">
        <v>44613.25</v>
      </c>
      <c r="S72" s="0">
        <v>60</v>
      </c>
      <c r="T72" s="0">
        <v>12</v>
      </c>
      <c r="U72" s="0">
        <v>50</v>
      </c>
      <c r="V72" s="0">
        <v>2529</v>
      </c>
      <c r="W72" s="1">
        <f>=HYPERLINK("10.175.1.14\MWEB.12\SEP\EntityDetails.10.175.1.14.MWEB.12.-include-.2529.xlsx", "&lt;Detail&gt;")</f>
      </c>
      <c r="X72" s="1">
        <f>=HYPERLINK("10.175.1.14\MWEB.12\SEP\MetricGraphs.SEP.10.175.1.14.MWEB.12.xlsx", "&lt;Metrics&gt;")</f>
      </c>
      <c r="Y72" s="0" t="s">
        <v>107</v>
      </c>
      <c r="Z72" s="0" t="s">
        <v>108</v>
      </c>
      <c r="AA72" s="0" t="s">
        <v>150</v>
      </c>
      <c r="AB72" s="0" t="s">
        <v>677</v>
      </c>
      <c r="AC72" s="0" t="s">
        <v>109</v>
      </c>
    </row>
    <row r="73">
      <c r="A73" s="0" t="s">
        <v>28</v>
      </c>
      <c r="B73" s="0" t="s">
        <v>30</v>
      </c>
      <c r="C73" s="0" t="s">
        <v>153</v>
      </c>
      <c r="D73" s="0" t="s">
        <v>676</v>
      </c>
      <c r="E73" s="0" t="s">
        <v>229</v>
      </c>
      <c r="F73" s="0">
        <v>0</v>
      </c>
      <c r="G73" s="0" t="s">
        <v>106</v>
      </c>
      <c r="H73" s="0">
        <v>0</v>
      </c>
      <c r="I73" s="0">
        <v>0</v>
      </c>
      <c r="J73" s="0">
        <v>0</v>
      </c>
      <c r="K73" s="0">
        <v>0</v>
      </c>
      <c r="L73" s="0">
        <v>0</v>
      </c>
      <c r="M73" s="0">
        <v>0</v>
      </c>
      <c r="N73" s="0" t="b">
        <v>0</v>
      </c>
      <c r="O73" s="2">
        <v>44613.583333333336</v>
      </c>
      <c r="P73" s="2">
        <v>44613.625</v>
      </c>
      <c r="Q73" s="2">
        <v>44613.208333333336</v>
      </c>
      <c r="R73" s="2">
        <v>44613.25</v>
      </c>
      <c r="S73" s="0">
        <v>60</v>
      </c>
      <c r="T73" s="0">
        <v>12</v>
      </c>
      <c r="U73" s="0">
        <v>51</v>
      </c>
      <c r="V73" s="0">
        <v>2534</v>
      </c>
      <c r="W73" s="1">
        <f>=HYPERLINK("10.175.1.14\MWEB.12\SEP\EntityDetails.10.175.1.14.MWEB.12.-include-.2534.xlsx", "&lt;Detail&gt;")</f>
      </c>
      <c r="X73" s="1">
        <f>=HYPERLINK("10.175.1.14\MWEB.12\SEP\MetricGraphs.SEP.10.175.1.14.MWEB.12.xlsx", "&lt;Metrics&gt;")</f>
      </c>
      <c r="Y73" s="0" t="s">
        <v>107</v>
      </c>
      <c r="Z73" s="0" t="s">
        <v>108</v>
      </c>
      <c r="AA73" s="0" t="s">
        <v>154</v>
      </c>
      <c r="AB73" s="0" t="s">
        <v>678</v>
      </c>
      <c r="AC73" s="0" t="s">
        <v>109</v>
      </c>
    </row>
    <row r="74">
      <c r="A74" s="0" t="s">
        <v>28</v>
      </c>
      <c r="B74" s="0" t="s">
        <v>30</v>
      </c>
      <c r="C74" s="0" t="s">
        <v>147</v>
      </c>
      <c r="D74" s="0" t="s">
        <v>679</v>
      </c>
      <c r="E74" s="0" t="s">
        <v>229</v>
      </c>
      <c r="F74" s="0">
        <v>0</v>
      </c>
      <c r="G74" s="0" t="s">
        <v>106</v>
      </c>
      <c r="H74" s="0">
        <v>0</v>
      </c>
      <c r="I74" s="0">
        <v>0</v>
      </c>
      <c r="J74" s="0">
        <v>0</v>
      </c>
      <c r="K74" s="0">
        <v>0</v>
      </c>
      <c r="L74" s="0">
        <v>0</v>
      </c>
      <c r="M74" s="0">
        <v>0</v>
      </c>
      <c r="N74" s="0" t="b">
        <v>0</v>
      </c>
      <c r="O74" s="2">
        <v>44613.583333333336</v>
      </c>
      <c r="P74" s="2">
        <v>44613.625</v>
      </c>
      <c r="Q74" s="2">
        <v>44613.208333333336</v>
      </c>
      <c r="R74" s="2">
        <v>44613.25</v>
      </c>
      <c r="S74" s="0">
        <v>60</v>
      </c>
      <c r="T74" s="0">
        <v>12</v>
      </c>
      <c r="U74" s="0">
        <v>49</v>
      </c>
      <c r="V74" s="0">
        <v>2411</v>
      </c>
      <c r="W74" s="1">
        <f>=HYPERLINK("10.175.1.14\MWEB.12\SEP\EntityDetails.10.175.1.14.MWEB.12.-include-ine.2411.xlsx", "&lt;Detail&gt;")</f>
      </c>
      <c r="X74" s="1">
        <f>=HYPERLINK("10.175.1.14\MWEB.12\SEP\MetricGraphs.SEP.10.175.1.14.MWEB.12.xlsx", "&lt;Metrics&gt;")</f>
      </c>
      <c r="Y74" s="0" t="s">
        <v>107</v>
      </c>
      <c r="Z74" s="0" t="s">
        <v>108</v>
      </c>
      <c r="AA74" s="0" t="s">
        <v>148</v>
      </c>
      <c r="AB74" s="0" t="s">
        <v>680</v>
      </c>
      <c r="AC74" s="0" t="s">
        <v>109</v>
      </c>
    </row>
    <row r="75">
      <c r="A75" s="0" t="s">
        <v>28</v>
      </c>
      <c r="B75" s="0" t="s">
        <v>30</v>
      </c>
      <c r="C75" s="0" t="s">
        <v>125</v>
      </c>
      <c r="D75" s="0" t="s">
        <v>681</v>
      </c>
      <c r="E75" s="0" t="s">
        <v>229</v>
      </c>
      <c r="F75" s="0">
        <v>0</v>
      </c>
      <c r="G75" s="0" t="s">
        <v>106</v>
      </c>
      <c r="H75" s="0">
        <v>0</v>
      </c>
      <c r="I75" s="0">
        <v>0</v>
      </c>
      <c r="J75" s="0">
        <v>0</v>
      </c>
      <c r="K75" s="0">
        <v>0</v>
      </c>
      <c r="L75" s="0">
        <v>0</v>
      </c>
      <c r="M75" s="0">
        <v>0</v>
      </c>
      <c r="N75" s="0" t="b">
        <v>0</v>
      </c>
      <c r="O75" s="2">
        <v>44613.583333333336</v>
      </c>
      <c r="P75" s="2">
        <v>44613.625</v>
      </c>
      <c r="Q75" s="2">
        <v>44613.208333333336</v>
      </c>
      <c r="R75" s="2">
        <v>44613.25</v>
      </c>
      <c r="S75" s="0">
        <v>60</v>
      </c>
      <c r="T75" s="0">
        <v>12</v>
      </c>
      <c r="U75" s="0">
        <v>42</v>
      </c>
      <c r="V75" s="0">
        <v>1187</v>
      </c>
      <c r="W75" s="1">
        <f>=HYPERLINK("10.175.1.14\MWEB.12\SEP\EntityDetails.10.175.1.14.MWEB.12.-index.jsp.1187.xlsx", "&lt;Detail&gt;")</f>
      </c>
      <c r="X75" s="1">
        <f>=HYPERLINK("10.175.1.14\MWEB.12\SEP\MetricGraphs.SEP.10.175.1.14.MWEB.12.xlsx", "&lt;Metrics&gt;")</f>
      </c>
      <c r="Y75" s="0" t="s">
        <v>107</v>
      </c>
      <c r="Z75" s="0" t="s">
        <v>108</v>
      </c>
      <c r="AA75" s="0" t="s">
        <v>126</v>
      </c>
      <c r="AB75" s="0" t="s">
        <v>682</v>
      </c>
      <c r="AC75" s="0" t="s">
        <v>109</v>
      </c>
    </row>
    <row r="76">
      <c r="A76" s="0" t="s">
        <v>28</v>
      </c>
      <c r="B76" s="0" t="s">
        <v>30</v>
      </c>
      <c r="C76" s="0" t="s">
        <v>127</v>
      </c>
      <c r="D76" s="0" t="s">
        <v>681</v>
      </c>
      <c r="E76" s="0" t="s">
        <v>229</v>
      </c>
      <c r="F76" s="0">
        <v>0</v>
      </c>
      <c r="G76" s="0" t="s">
        <v>106</v>
      </c>
      <c r="H76" s="0">
        <v>0</v>
      </c>
      <c r="I76" s="0">
        <v>0</v>
      </c>
      <c r="J76" s="0">
        <v>0</v>
      </c>
      <c r="K76" s="0">
        <v>0</v>
      </c>
      <c r="L76" s="0">
        <v>0</v>
      </c>
      <c r="M76" s="0">
        <v>0</v>
      </c>
      <c r="N76" s="0" t="b">
        <v>0</v>
      </c>
      <c r="O76" s="2">
        <v>44613.583333333336</v>
      </c>
      <c r="P76" s="2">
        <v>44613.625</v>
      </c>
      <c r="Q76" s="2">
        <v>44613.208333333336</v>
      </c>
      <c r="R76" s="2">
        <v>44613.25</v>
      </c>
      <c r="S76" s="0">
        <v>60</v>
      </c>
      <c r="T76" s="0">
        <v>12</v>
      </c>
      <c r="U76" s="0">
        <v>39</v>
      </c>
      <c r="V76" s="0">
        <v>1201</v>
      </c>
      <c r="W76" s="1">
        <f>=HYPERLINK("10.175.1.14\MWEB.12\SEP\EntityDetails.10.175.1.14.MWEB.12.-index.jsp.1201.xlsx", "&lt;Detail&gt;")</f>
      </c>
      <c r="X76" s="1">
        <f>=HYPERLINK("10.175.1.14\MWEB.12\SEP\MetricGraphs.SEP.10.175.1.14.MWEB.12.xlsx", "&lt;Metrics&gt;")</f>
      </c>
      <c r="Y76" s="0" t="s">
        <v>107</v>
      </c>
      <c r="Z76" s="0" t="s">
        <v>108</v>
      </c>
      <c r="AA76" s="0" t="s">
        <v>128</v>
      </c>
      <c r="AB76" s="0" t="s">
        <v>683</v>
      </c>
      <c r="AC76" s="0" t="s">
        <v>109</v>
      </c>
    </row>
    <row r="77">
      <c r="A77" s="0" t="s">
        <v>28</v>
      </c>
      <c r="B77" s="0" t="s">
        <v>30</v>
      </c>
      <c r="C77" s="0" t="s">
        <v>133</v>
      </c>
      <c r="D77" s="0" t="s">
        <v>681</v>
      </c>
      <c r="E77" s="0" t="s">
        <v>229</v>
      </c>
      <c r="F77" s="0">
        <v>0</v>
      </c>
      <c r="G77" s="0" t="s">
        <v>106</v>
      </c>
      <c r="H77" s="0">
        <v>0</v>
      </c>
      <c r="I77" s="0">
        <v>0</v>
      </c>
      <c r="J77" s="0">
        <v>0</v>
      </c>
      <c r="K77" s="0">
        <v>0</v>
      </c>
      <c r="L77" s="0">
        <v>0</v>
      </c>
      <c r="M77" s="0">
        <v>0</v>
      </c>
      <c r="N77" s="0" t="b">
        <v>0</v>
      </c>
      <c r="O77" s="2">
        <v>44613.583333333336</v>
      </c>
      <c r="P77" s="2">
        <v>44613.625</v>
      </c>
      <c r="Q77" s="2">
        <v>44613.208333333336</v>
      </c>
      <c r="R77" s="2">
        <v>44613.25</v>
      </c>
      <c r="S77" s="0">
        <v>60</v>
      </c>
      <c r="T77" s="0">
        <v>12</v>
      </c>
      <c r="U77" s="0">
        <v>36</v>
      </c>
      <c r="V77" s="0">
        <v>1229</v>
      </c>
      <c r="W77" s="1">
        <f>=HYPERLINK("10.175.1.14\MWEB.12\SEP\EntityDetails.10.175.1.14.MWEB.12.-index.jsp.1229.xlsx", "&lt;Detail&gt;")</f>
      </c>
      <c r="X77" s="1">
        <f>=HYPERLINK("10.175.1.14\MWEB.12\SEP\MetricGraphs.SEP.10.175.1.14.MWEB.12.xlsx", "&lt;Metrics&gt;")</f>
      </c>
      <c r="Y77" s="0" t="s">
        <v>107</v>
      </c>
      <c r="Z77" s="0" t="s">
        <v>108</v>
      </c>
      <c r="AA77" s="0" t="s">
        <v>134</v>
      </c>
      <c r="AB77" s="0" t="s">
        <v>684</v>
      </c>
      <c r="AC77" s="0" t="s">
        <v>109</v>
      </c>
    </row>
    <row r="78">
      <c r="A78" s="0" t="s">
        <v>28</v>
      </c>
      <c r="B78" s="0" t="s">
        <v>30</v>
      </c>
      <c r="C78" s="0" t="s">
        <v>149</v>
      </c>
      <c r="D78" s="0" t="s">
        <v>685</v>
      </c>
      <c r="E78" s="0" t="s">
        <v>229</v>
      </c>
      <c r="F78" s="0">
        <v>0</v>
      </c>
      <c r="G78" s="0" t="s">
        <v>106</v>
      </c>
      <c r="H78" s="0">
        <v>0</v>
      </c>
      <c r="I78" s="0">
        <v>0</v>
      </c>
      <c r="J78" s="0">
        <v>0</v>
      </c>
      <c r="K78" s="0">
        <v>0</v>
      </c>
      <c r="L78" s="0">
        <v>0</v>
      </c>
      <c r="M78" s="0">
        <v>0</v>
      </c>
      <c r="N78" s="0" t="b">
        <v>0</v>
      </c>
      <c r="O78" s="2">
        <v>44613.583333333336</v>
      </c>
      <c r="P78" s="2">
        <v>44613.625</v>
      </c>
      <c r="Q78" s="2">
        <v>44613.208333333336</v>
      </c>
      <c r="R78" s="2">
        <v>44613.25</v>
      </c>
      <c r="S78" s="0">
        <v>60</v>
      </c>
      <c r="T78" s="0">
        <v>12</v>
      </c>
      <c r="U78" s="0">
        <v>50</v>
      </c>
      <c r="V78" s="0">
        <v>2527</v>
      </c>
      <c r="W78" s="1">
        <f>=HYPERLINK("10.175.1.14\MWEB.12\SEP\EntityDetails.10.175.1.14.MWEB.12.-inet-.2527.xlsx", "&lt;Detail&gt;")</f>
      </c>
      <c r="X78" s="1">
        <f>=HYPERLINK("10.175.1.14\MWEB.12\SEP\MetricGraphs.SEP.10.175.1.14.MWEB.12.xlsx", "&lt;Metrics&gt;")</f>
      </c>
      <c r="Y78" s="0" t="s">
        <v>107</v>
      </c>
      <c r="Z78" s="0" t="s">
        <v>108</v>
      </c>
      <c r="AA78" s="0" t="s">
        <v>150</v>
      </c>
      <c r="AB78" s="0" t="s">
        <v>686</v>
      </c>
      <c r="AC78" s="0" t="s">
        <v>109</v>
      </c>
    </row>
    <row r="79">
      <c r="A79" s="0" t="s">
        <v>28</v>
      </c>
      <c r="B79" s="0" t="s">
        <v>30</v>
      </c>
      <c r="C79" s="0" t="s">
        <v>125</v>
      </c>
      <c r="D79" s="0" t="s">
        <v>279</v>
      </c>
      <c r="E79" s="0" t="s">
        <v>229</v>
      </c>
      <c r="F79" s="0">
        <v>0</v>
      </c>
      <c r="G79" s="0" t="s">
        <v>106</v>
      </c>
      <c r="H79" s="0">
        <v>0</v>
      </c>
      <c r="I79" s="0">
        <v>0</v>
      </c>
      <c r="J79" s="0">
        <v>0</v>
      </c>
      <c r="K79" s="0">
        <v>0</v>
      </c>
      <c r="L79" s="0">
        <v>0</v>
      </c>
      <c r="M79" s="0">
        <v>0</v>
      </c>
      <c r="N79" s="0" t="b">
        <v>0</v>
      </c>
      <c r="O79" s="2">
        <v>44613.583333333336</v>
      </c>
      <c r="P79" s="2">
        <v>44613.625</v>
      </c>
      <c r="Q79" s="2">
        <v>44613.208333333336</v>
      </c>
      <c r="R79" s="2">
        <v>44613.25</v>
      </c>
      <c r="S79" s="0">
        <v>60</v>
      </c>
      <c r="T79" s="0">
        <v>12</v>
      </c>
      <c r="U79" s="0">
        <v>42</v>
      </c>
      <c r="V79" s="0">
        <v>195</v>
      </c>
      <c r="W79" s="1">
        <f>=HYPERLINK("10.175.1.14\MWEB.12\SEP\EntityDetails.10.175.1.14.MWEB.12.-inet-affili.195.xlsx", "&lt;Detail&gt;")</f>
      </c>
      <c r="X79" s="1">
        <f>=HYPERLINK("10.175.1.14\MWEB.12\SEP\MetricGraphs.SEP.10.175.1.14.MWEB.12.xlsx", "&lt;Metrics&gt;")</f>
      </c>
      <c r="Y79" s="0" t="s">
        <v>107</v>
      </c>
      <c r="Z79" s="0" t="s">
        <v>108</v>
      </c>
      <c r="AA79" s="0" t="s">
        <v>126</v>
      </c>
      <c r="AB79" s="0" t="s">
        <v>687</v>
      </c>
      <c r="AC79" s="0" t="s">
        <v>109</v>
      </c>
    </row>
    <row r="80">
      <c r="A80" s="0" t="s">
        <v>28</v>
      </c>
      <c r="B80" s="0" t="s">
        <v>30</v>
      </c>
      <c r="C80" s="0" t="s">
        <v>125</v>
      </c>
      <c r="D80" s="0" t="s">
        <v>281</v>
      </c>
      <c r="E80" s="0" t="s">
        <v>229</v>
      </c>
      <c r="F80" s="0">
        <v>0</v>
      </c>
      <c r="G80" s="0" t="s">
        <v>106</v>
      </c>
      <c r="H80" s="0">
        <v>0</v>
      </c>
      <c r="I80" s="0">
        <v>0</v>
      </c>
      <c r="J80" s="0">
        <v>0</v>
      </c>
      <c r="K80" s="0">
        <v>0</v>
      </c>
      <c r="L80" s="0">
        <v>0</v>
      </c>
      <c r="M80" s="0">
        <v>0</v>
      </c>
      <c r="N80" s="0" t="b">
        <v>0</v>
      </c>
      <c r="O80" s="2">
        <v>44613.583333333336</v>
      </c>
      <c r="P80" s="2">
        <v>44613.625</v>
      </c>
      <c r="Q80" s="2">
        <v>44613.208333333336</v>
      </c>
      <c r="R80" s="2">
        <v>44613.25</v>
      </c>
      <c r="S80" s="0">
        <v>60</v>
      </c>
      <c r="T80" s="0">
        <v>12</v>
      </c>
      <c r="U80" s="0">
        <v>42</v>
      </c>
      <c r="V80" s="0">
        <v>224</v>
      </c>
      <c r="W80" s="1">
        <f>=HYPERLINK("10.175.1.14\MWEB.12\SEP\EntityDetails.10.175.1.14.MWEB.12.-inet-announ.224.xlsx", "&lt;Detail&gt;")</f>
      </c>
      <c r="X80" s="1">
        <f>=HYPERLINK("10.175.1.14\MWEB.12\SEP\MetricGraphs.SEP.10.175.1.14.MWEB.12.xlsx", "&lt;Metrics&gt;")</f>
      </c>
      <c r="Y80" s="0" t="s">
        <v>107</v>
      </c>
      <c r="Z80" s="0" t="s">
        <v>108</v>
      </c>
      <c r="AA80" s="0" t="s">
        <v>126</v>
      </c>
      <c r="AB80" s="0" t="s">
        <v>688</v>
      </c>
      <c r="AC80" s="0" t="s">
        <v>109</v>
      </c>
    </row>
    <row r="81">
      <c r="A81" s="0" t="s">
        <v>28</v>
      </c>
      <c r="B81" s="0" t="s">
        <v>30</v>
      </c>
      <c r="C81" s="0" t="s">
        <v>125</v>
      </c>
      <c r="D81" s="0" t="s">
        <v>283</v>
      </c>
      <c r="E81" s="0" t="s">
        <v>229</v>
      </c>
      <c r="F81" s="0">
        <v>0</v>
      </c>
      <c r="G81" s="0" t="s">
        <v>106</v>
      </c>
      <c r="H81" s="0">
        <v>0</v>
      </c>
      <c r="I81" s="0">
        <v>0</v>
      </c>
      <c r="J81" s="0">
        <v>0</v>
      </c>
      <c r="K81" s="0">
        <v>0</v>
      </c>
      <c r="L81" s="0">
        <v>0</v>
      </c>
      <c r="M81" s="0">
        <v>0</v>
      </c>
      <c r="N81" s="0" t="b">
        <v>0</v>
      </c>
      <c r="O81" s="2">
        <v>44613.583333333336</v>
      </c>
      <c r="P81" s="2">
        <v>44613.625</v>
      </c>
      <c r="Q81" s="2">
        <v>44613.208333333336</v>
      </c>
      <c r="R81" s="2">
        <v>44613.25</v>
      </c>
      <c r="S81" s="0">
        <v>60</v>
      </c>
      <c r="T81" s="0">
        <v>12</v>
      </c>
      <c r="U81" s="0">
        <v>42</v>
      </c>
      <c r="V81" s="0">
        <v>305</v>
      </c>
      <c r="W81" s="1">
        <f>=HYPERLINK("10.175.1.14\MWEB.12\SEP\EntityDetails.10.175.1.14.MWEB.12.-inet-clerk.305.xlsx", "&lt;Detail&gt;")</f>
      </c>
      <c r="X81" s="1">
        <f>=HYPERLINK("10.175.1.14\MWEB.12\SEP\MetricGraphs.SEP.10.175.1.14.MWEB.12.xlsx", "&lt;Metrics&gt;")</f>
      </c>
      <c r="Y81" s="0" t="s">
        <v>107</v>
      </c>
      <c r="Z81" s="0" t="s">
        <v>108</v>
      </c>
      <c r="AA81" s="0" t="s">
        <v>126</v>
      </c>
      <c r="AB81" s="0" t="s">
        <v>689</v>
      </c>
      <c r="AC81" s="0" t="s">
        <v>109</v>
      </c>
    </row>
    <row r="82">
      <c r="A82" s="0" t="s">
        <v>28</v>
      </c>
      <c r="B82" s="0" t="s">
        <v>30</v>
      </c>
      <c r="C82" s="0" t="s">
        <v>125</v>
      </c>
      <c r="D82" s="0" t="s">
        <v>285</v>
      </c>
      <c r="E82" s="0" t="s">
        <v>229</v>
      </c>
      <c r="F82" s="0">
        <v>0</v>
      </c>
      <c r="G82" s="0" t="s">
        <v>106</v>
      </c>
      <c r="H82" s="0">
        <v>0</v>
      </c>
      <c r="I82" s="0">
        <v>0</v>
      </c>
      <c r="J82" s="0">
        <v>0</v>
      </c>
      <c r="K82" s="0">
        <v>0</v>
      </c>
      <c r="L82" s="0">
        <v>0</v>
      </c>
      <c r="M82" s="0">
        <v>0</v>
      </c>
      <c r="N82" s="0" t="b">
        <v>0</v>
      </c>
      <c r="O82" s="2">
        <v>44613.583333333336</v>
      </c>
      <c r="P82" s="2">
        <v>44613.625</v>
      </c>
      <c r="Q82" s="2">
        <v>44613.208333333336</v>
      </c>
      <c r="R82" s="2">
        <v>44613.25</v>
      </c>
      <c r="S82" s="0">
        <v>60</v>
      </c>
      <c r="T82" s="0">
        <v>12</v>
      </c>
      <c r="U82" s="0">
        <v>42</v>
      </c>
      <c r="V82" s="0">
        <v>302</v>
      </c>
      <c r="W82" s="1">
        <f>=HYPERLINK("10.175.1.14\MWEB.12\SEP\EntityDetails.10.175.1.14.MWEB.12.-inet-corpor.302.xlsx", "&lt;Detail&gt;")</f>
      </c>
      <c r="X82" s="1">
        <f>=HYPERLINK("10.175.1.14\MWEB.12\SEP\MetricGraphs.SEP.10.175.1.14.MWEB.12.xlsx", "&lt;Metrics&gt;")</f>
      </c>
      <c r="Y82" s="0" t="s">
        <v>107</v>
      </c>
      <c r="Z82" s="0" t="s">
        <v>108</v>
      </c>
      <c r="AA82" s="0" t="s">
        <v>126</v>
      </c>
      <c r="AB82" s="0" t="s">
        <v>690</v>
      </c>
      <c r="AC82" s="0" t="s">
        <v>109</v>
      </c>
    </row>
    <row r="83">
      <c r="A83" s="0" t="s">
        <v>28</v>
      </c>
      <c r="B83" s="0" t="s">
        <v>30</v>
      </c>
      <c r="C83" s="0" t="s">
        <v>125</v>
      </c>
      <c r="D83" s="0" t="s">
        <v>287</v>
      </c>
      <c r="E83" s="0" t="s">
        <v>229</v>
      </c>
      <c r="F83" s="0">
        <v>0</v>
      </c>
      <c r="G83" s="0" t="s">
        <v>106</v>
      </c>
      <c r="H83" s="0">
        <v>0</v>
      </c>
      <c r="I83" s="0">
        <v>0</v>
      </c>
      <c r="J83" s="0">
        <v>0</v>
      </c>
      <c r="K83" s="0">
        <v>0</v>
      </c>
      <c r="L83" s="0">
        <v>0</v>
      </c>
      <c r="M83" s="0">
        <v>0</v>
      </c>
      <c r="N83" s="0" t="b">
        <v>0</v>
      </c>
      <c r="O83" s="2">
        <v>44613.583333333336</v>
      </c>
      <c r="P83" s="2">
        <v>44613.625</v>
      </c>
      <c r="Q83" s="2">
        <v>44613.208333333336</v>
      </c>
      <c r="R83" s="2">
        <v>44613.25</v>
      </c>
      <c r="S83" s="0">
        <v>60</v>
      </c>
      <c r="T83" s="0">
        <v>12</v>
      </c>
      <c r="U83" s="0">
        <v>42</v>
      </c>
      <c r="V83" s="0">
        <v>172</v>
      </c>
      <c r="W83" s="1">
        <f>=HYPERLINK("10.175.1.14\MWEB.12\SEP\EntityDetails.10.175.1.14.MWEB.12.-inet-dy.172.xlsx", "&lt;Detail&gt;")</f>
      </c>
      <c r="X83" s="1">
        <f>=HYPERLINK("10.175.1.14\MWEB.12\SEP\MetricGraphs.SEP.10.175.1.14.MWEB.12.xlsx", "&lt;Metrics&gt;")</f>
      </c>
      <c r="Y83" s="0" t="s">
        <v>107</v>
      </c>
      <c r="Z83" s="0" t="s">
        <v>108</v>
      </c>
      <c r="AA83" s="0" t="s">
        <v>126</v>
      </c>
      <c r="AB83" s="0" t="s">
        <v>691</v>
      </c>
      <c r="AC83" s="0" t="s">
        <v>109</v>
      </c>
    </row>
    <row r="84">
      <c r="A84" s="0" t="s">
        <v>28</v>
      </c>
      <c r="B84" s="0" t="s">
        <v>30</v>
      </c>
      <c r="C84" s="0" t="s">
        <v>147</v>
      </c>
      <c r="D84" s="0" t="s">
        <v>287</v>
      </c>
      <c r="E84" s="0" t="s">
        <v>229</v>
      </c>
      <c r="F84" s="0">
        <v>0</v>
      </c>
      <c r="G84" s="0" t="s">
        <v>106</v>
      </c>
      <c r="H84" s="0">
        <v>0</v>
      </c>
      <c r="I84" s="0">
        <v>0</v>
      </c>
      <c r="J84" s="0">
        <v>0</v>
      </c>
      <c r="K84" s="0">
        <v>0</v>
      </c>
      <c r="L84" s="0">
        <v>0</v>
      </c>
      <c r="M84" s="0">
        <v>0</v>
      </c>
      <c r="N84" s="0" t="b">
        <v>0</v>
      </c>
      <c r="O84" s="2">
        <v>44613.583333333336</v>
      </c>
      <c r="P84" s="2">
        <v>44613.625</v>
      </c>
      <c r="Q84" s="2">
        <v>44613.208333333336</v>
      </c>
      <c r="R84" s="2">
        <v>44613.25</v>
      </c>
      <c r="S84" s="0">
        <v>60</v>
      </c>
      <c r="T84" s="0">
        <v>12</v>
      </c>
      <c r="U84" s="0">
        <v>49</v>
      </c>
      <c r="V84" s="0">
        <v>2536</v>
      </c>
      <c r="W84" s="1">
        <f>=HYPERLINK("10.175.1.14\MWEB.12\SEP\EntityDetails.10.175.1.14.MWEB.12.-inet-dy.2536.xlsx", "&lt;Detail&gt;")</f>
      </c>
      <c r="X84" s="1">
        <f>=HYPERLINK("10.175.1.14\MWEB.12\SEP\MetricGraphs.SEP.10.175.1.14.MWEB.12.xlsx", "&lt;Metrics&gt;")</f>
      </c>
      <c r="Y84" s="0" t="s">
        <v>107</v>
      </c>
      <c r="Z84" s="0" t="s">
        <v>108</v>
      </c>
      <c r="AA84" s="0" t="s">
        <v>148</v>
      </c>
      <c r="AB84" s="0" t="s">
        <v>692</v>
      </c>
      <c r="AC84" s="0" t="s">
        <v>109</v>
      </c>
    </row>
    <row r="85">
      <c r="A85" s="0" t="s">
        <v>28</v>
      </c>
      <c r="B85" s="0" t="s">
        <v>30</v>
      </c>
      <c r="C85" s="0" t="s">
        <v>125</v>
      </c>
      <c r="D85" s="0" t="s">
        <v>289</v>
      </c>
      <c r="E85" s="0" t="s">
        <v>229</v>
      </c>
      <c r="F85" s="0">
        <v>0</v>
      </c>
      <c r="G85" s="0" t="s">
        <v>106</v>
      </c>
      <c r="H85" s="0">
        <v>0</v>
      </c>
      <c r="I85" s="0">
        <v>0</v>
      </c>
      <c r="J85" s="0">
        <v>0</v>
      </c>
      <c r="K85" s="0">
        <v>0</v>
      </c>
      <c r="L85" s="0">
        <v>0</v>
      </c>
      <c r="M85" s="0">
        <v>0</v>
      </c>
      <c r="N85" s="0" t="b">
        <v>0</v>
      </c>
      <c r="O85" s="2">
        <v>44613.583333333336</v>
      </c>
      <c r="P85" s="2">
        <v>44613.625</v>
      </c>
      <c r="Q85" s="2">
        <v>44613.208333333336</v>
      </c>
      <c r="R85" s="2">
        <v>44613.25</v>
      </c>
      <c r="S85" s="0">
        <v>60</v>
      </c>
      <c r="T85" s="0">
        <v>12</v>
      </c>
      <c r="U85" s="0">
        <v>42</v>
      </c>
      <c r="V85" s="0">
        <v>333</v>
      </c>
      <c r="W85" s="1">
        <f>=HYPERLINK("10.175.1.14\MWEB.12\SEP\EntityDetails.10.175.1.14.MWEB.12.-inet-EshopS.333.xlsx", "&lt;Detail&gt;")</f>
      </c>
      <c r="X85" s="1">
        <f>=HYPERLINK("10.175.1.14\MWEB.12\SEP\MetricGraphs.SEP.10.175.1.14.MWEB.12.xlsx", "&lt;Metrics&gt;")</f>
      </c>
      <c r="Y85" s="0" t="s">
        <v>107</v>
      </c>
      <c r="Z85" s="0" t="s">
        <v>108</v>
      </c>
      <c r="AA85" s="0" t="s">
        <v>126</v>
      </c>
      <c r="AB85" s="0" t="s">
        <v>693</v>
      </c>
      <c r="AC85" s="0" t="s">
        <v>109</v>
      </c>
    </row>
    <row r="86">
      <c r="A86" s="0" t="s">
        <v>28</v>
      </c>
      <c r="B86" s="0" t="s">
        <v>30</v>
      </c>
      <c r="C86" s="0" t="s">
        <v>125</v>
      </c>
      <c r="D86" s="0" t="s">
        <v>291</v>
      </c>
      <c r="E86" s="0" t="s">
        <v>229</v>
      </c>
      <c r="F86" s="0">
        <v>0</v>
      </c>
      <c r="G86" s="0" t="s">
        <v>106</v>
      </c>
      <c r="H86" s="0">
        <v>0</v>
      </c>
      <c r="I86" s="0">
        <v>0</v>
      </c>
      <c r="J86" s="0">
        <v>0</v>
      </c>
      <c r="K86" s="0">
        <v>0</v>
      </c>
      <c r="L86" s="0">
        <v>0</v>
      </c>
      <c r="M86" s="0">
        <v>0</v>
      </c>
      <c r="N86" s="0" t="b">
        <v>0</v>
      </c>
      <c r="O86" s="2">
        <v>44613.583333333336</v>
      </c>
      <c r="P86" s="2">
        <v>44613.625</v>
      </c>
      <c r="Q86" s="2">
        <v>44613.208333333336</v>
      </c>
      <c r="R86" s="2">
        <v>44613.25</v>
      </c>
      <c r="S86" s="0">
        <v>60</v>
      </c>
      <c r="T86" s="0">
        <v>12</v>
      </c>
      <c r="U86" s="0">
        <v>42</v>
      </c>
      <c r="V86" s="0">
        <v>161</v>
      </c>
      <c r="W86" s="1">
        <f>=HYPERLINK("10.175.1.14\MWEB.12\SEP\EntityDetails.10.175.1.14.MWEB.12.-inet-idpw.161.xlsx", "&lt;Detail&gt;")</f>
      </c>
      <c r="X86" s="1">
        <f>=HYPERLINK("10.175.1.14\MWEB.12\SEP\MetricGraphs.SEP.10.175.1.14.MWEB.12.xlsx", "&lt;Metrics&gt;")</f>
      </c>
      <c r="Y86" s="0" t="s">
        <v>107</v>
      </c>
      <c r="Z86" s="0" t="s">
        <v>108</v>
      </c>
      <c r="AA86" s="0" t="s">
        <v>126</v>
      </c>
      <c r="AB86" s="0" t="s">
        <v>694</v>
      </c>
      <c r="AC86" s="0" t="s">
        <v>109</v>
      </c>
    </row>
    <row r="87">
      <c r="A87" s="0" t="s">
        <v>28</v>
      </c>
      <c r="B87" s="0" t="s">
        <v>30</v>
      </c>
      <c r="C87" s="0" t="s">
        <v>125</v>
      </c>
      <c r="D87" s="0" t="s">
        <v>695</v>
      </c>
      <c r="E87" s="0" t="s">
        <v>229</v>
      </c>
      <c r="F87" s="0">
        <v>0</v>
      </c>
      <c r="G87" s="0" t="s">
        <v>106</v>
      </c>
      <c r="H87" s="0">
        <v>0</v>
      </c>
      <c r="I87" s="0">
        <v>0</v>
      </c>
      <c r="J87" s="0">
        <v>0</v>
      </c>
      <c r="K87" s="0">
        <v>0</v>
      </c>
      <c r="L87" s="0">
        <v>0</v>
      </c>
      <c r="M87" s="0">
        <v>0</v>
      </c>
      <c r="N87" s="0" t="b">
        <v>0</v>
      </c>
      <c r="O87" s="2">
        <v>44613.583333333336</v>
      </c>
      <c r="P87" s="2">
        <v>44613.625</v>
      </c>
      <c r="Q87" s="2">
        <v>44613.208333333336</v>
      </c>
      <c r="R87" s="2">
        <v>44613.25</v>
      </c>
      <c r="S87" s="0">
        <v>60</v>
      </c>
      <c r="T87" s="0">
        <v>12</v>
      </c>
      <c r="U87" s="0">
        <v>42</v>
      </c>
      <c r="V87" s="0">
        <v>478</v>
      </c>
      <c r="W87" s="1">
        <f>=HYPERLINK("10.175.1.14\MWEB.12\SEP\EntityDetails.10.175.1.14.MWEB.12.-inet-ITYZKE.478.xlsx", "&lt;Detail&gt;")</f>
      </c>
      <c r="X87" s="1">
        <f>=HYPERLINK("10.175.1.14\MWEB.12\SEP\MetricGraphs.SEP.10.175.1.14.MWEB.12.xlsx", "&lt;Metrics&gt;")</f>
      </c>
      <c r="Y87" s="0" t="s">
        <v>107</v>
      </c>
      <c r="Z87" s="0" t="s">
        <v>108</v>
      </c>
      <c r="AA87" s="0" t="s">
        <v>126</v>
      </c>
      <c r="AB87" s="0" t="s">
        <v>696</v>
      </c>
      <c r="AC87" s="0" t="s">
        <v>109</v>
      </c>
    </row>
    <row r="88">
      <c r="A88" s="0" t="s">
        <v>28</v>
      </c>
      <c r="B88" s="0" t="s">
        <v>30</v>
      </c>
      <c r="C88" s="0" t="s">
        <v>125</v>
      </c>
      <c r="D88" s="0" t="s">
        <v>293</v>
      </c>
      <c r="E88" s="0" t="s">
        <v>229</v>
      </c>
      <c r="F88" s="0">
        <v>0</v>
      </c>
      <c r="G88" s="0" t="s">
        <v>106</v>
      </c>
      <c r="H88" s="0">
        <v>0</v>
      </c>
      <c r="I88" s="0">
        <v>0</v>
      </c>
      <c r="J88" s="0">
        <v>0</v>
      </c>
      <c r="K88" s="0">
        <v>0</v>
      </c>
      <c r="L88" s="0">
        <v>0</v>
      </c>
      <c r="M88" s="0">
        <v>0</v>
      </c>
      <c r="N88" s="0" t="b">
        <v>0</v>
      </c>
      <c r="O88" s="2">
        <v>44613.583333333336</v>
      </c>
      <c r="P88" s="2">
        <v>44613.625</v>
      </c>
      <c r="Q88" s="2">
        <v>44613.208333333336</v>
      </c>
      <c r="R88" s="2">
        <v>44613.25</v>
      </c>
      <c r="S88" s="0">
        <v>60</v>
      </c>
      <c r="T88" s="0">
        <v>12</v>
      </c>
      <c r="U88" s="0">
        <v>42</v>
      </c>
      <c r="V88" s="0">
        <v>101</v>
      </c>
      <c r="W88" s="1">
        <f>=HYPERLINK("10.175.1.14\MWEB.12\SEP\EntityDetails.10.175.1.14.MWEB.12.-inet-life.101.xlsx", "&lt;Detail&gt;")</f>
      </c>
      <c r="X88" s="1">
        <f>=HYPERLINK("10.175.1.14\MWEB.12\SEP\MetricGraphs.SEP.10.175.1.14.MWEB.12.xlsx", "&lt;Metrics&gt;")</f>
      </c>
      <c r="Y88" s="0" t="s">
        <v>107</v>
      </c>
      <c r="Z88" s="0" t="s">
        <v>108</v>
      </c>
      <c r="AA88" s="0" t="s">
        <v>126</v>
      </c>
      <c r="AB88" s="0" t="s">
        <v>697</v>
      </c>
      <c r="AC88" s="0" t="s">
        <v>109</v>
      </c>
    </row>
    <row r="89">
      <c r="A89" s="0" t="s">
        <v>28</v>
      </c>
      <c r="B89" s="0" t="s">
        <v>30</v>
      </c>
      <c r="C89" s="0" t="s">
        <v>147</v>
      </c>
      <c r="D89" s="0" t="s">
        <v>698</v>
      </c>
      <c r="E89" s="0" t="s">
        <v>229</v>
      </c>
      <c r="F89" s="0">
        <v>0</v>
      </c>
      <c r="G89" s="0" t="s">
        <v>106</v>
      </c>
      <c r="H89" s="0">
        <v>0</v>
      </c>
      <c r="I89" s="0">
        <v>0</v>
      </c>
      <c r="J89" s="0">
        <v>0</v>
      </c>
      <c r="K89" s="0">
        <v>0</v>
      </c>
      <c r="L89" s="0">
        <v>0</v>
      </c>
      <c r="M89" s="0">
        <v>0</v>
      </c>
      <c r="N89" s="0" t="b">
        <v>0</v>
      </c>
      <c r="O89" s="2">
        <v>44613.583333333336</v>
      </c>
      <c r="P89" s="2">
        <v>44613.625</v>
      </c>
      <c r="Q89" s="2">
        <v>44613.208333333336</v>
      </c>
      <c r="R89" s="2">
        <v>44613.25</v>
      </c>
      <c r="S89" s="0">
        <v>60</v>
      </c>
      <c r="T89" s="0">
        <v>12</v>
      </c>
      <c r="U89" s="0">
        <v>49</v>
      </c>
      <c r="V89" s="0">
        <v>2533</v>
      </c>
      <c r="W89" s="1">
        <f>=HYPERLINK("10.175.1.14\MWEB.12\SEP\EntityDetails.10.175.1.14.MWEB.12.-inet-mufg.2533.xlsx", "&lt;Detail&gt;")</f>
      </c>
      <c r="X89" s="1">
        <f>=HYPERLINK("10.175.1.14\MWEB.12\SEP\MetricGraphs.SEP.10.175.1.14.MWEB.12.xlsx", "&lt;Metrics&gt;")</f>
      </c>
      <c r="Y89" s="0" t="s">
        <v>107</v>
      </c>
      <c r="Z89" s="0" t="s">
        <v>108</v>
      </c>
      <c r="AA89" s="0" t="s">
        <v>148</v>
      </c>
      <c r="AB89" s="0" t="s">
        <v>699</v>
      </c>
      <c r="AC89" s="0" t="s">
        <v>109</v>
      </c>
    </row>
    <row r="90">
      <c r="A90" s="0" t="s">
        <v>28</v>
      </c>
      <c r="B90" s="0" t="s">
        <v>30</v>
      </c>
      <c r="C90" s="0" t="s">
        <v>125</v>
      </c>
      <c r="D90" s="0" t="s">
        <v>295</v>
      </c>
      <c r="E90" s="0" t="s">
        <v>229</v>
      </c>
      <c r="F90" s="0">
        <v>0</v>
      </c>
      <c r="G90" s="0" t="s">
        <v>106</v>
      </c>
      <c r="H90" s="0">
        <v>0</v>
      </c>
      <c r="I90" s="0">
        <v>0</v>
      </c>
      <c r="J90" s="0">
        <v>0</v>
      </c>
      <c r="K90" s="0">
        <v>0</v>
      </c>
      <c r="L90" s="0">
        <v>0</v>
      </c>
      <c r="M90" s="0">
        <v>0</v>
      </c>
      <c r="N90" s="0" t="b">
        <v>0</v>
      </c>
      <c r="O90" s="2">
        <v>44613.583333333336</v>
      </c>
      <c r="P90" s="2">
        <v>44613.625</v>
      </c>
      <c r="Q90" s="2">
        <v>44613.208333333336</v>
      </c>
      <c r="R90" s="2">
        <v>44613.25</v>
      </c>
      <c r="S90" s="0">
        <v>60</v>
      </c>
      <c r="T90" s="0">
        <v>12</v>
      </c>
      <c r="U90" s="0">
        <v>42</v>
      </c>
      <c r="V90" s="0">
        <v>178</v>
      </c>
      <c r="W90" s="1">
        <f>=HYPERLINK("10.175.1.14\MWEB.12\SEP\EntityDetails.10.175.1.14.MWEB.12.-inet-ni.178.xlsx", "&lt;Detail&gt;")</f>
      </c>
      <c r="X90" s="1">
        <f>=HYPERLINK("10.175.1.14\MWEB.12\SEP\MetricGraphs.SEP.10.175.1.14.MWEB.12.xlsx", "&lt;Metrics&gt;")</f>
      </c>
      <c r="Y90" s="0" t="s">
        <v>107</v>
      </c>
      <c r="Z90" s="0" t="s">
        <v>108</v>
      </c>
      <c r="AA90" s="0" t="s">
        <v>126</v>
      </c>
      <c r="AB90" s="0" t="s">
        <v>700</v>
      </c>
      <c r="AC90" s="0" t="s">
        <v>109</v>
      </c>
    </row>
    <row r="91">
      <c r="A91" s="0" t="s">
        <v>28</v>
      </c>
      <c r="B91" s="0" t="s">
        <v>30</v>
      </c>
      <c r="C91" s="0" t="s">
        <v>127</v>
      </c>
      <c r="D91" s="0" t="s">
        <v>297</v>
      </c>
      <c r="E91" s="0" t="s">
        <v>229</v>
      </c>
      <c r="F91" s="0">
        <v>0</v>
      </c>
      <c r="G91" s="0" t="s">
        <v>106</v>
      </c>
      <c r="H91" s="0">
        <v>0</v>
      </c>
      <c r="I91" s="0">
        <v>0</v>
      </c>
      <c r="J91" s="0">
        <v>0</v>
      </c>
      <c r="K91" s="0">
        <v>0</v>
      </c>
      <c r="L91" s="0">
        <v>0</v>
      </c>
      <c r="M91" s="0">
        <v>0</v>
      </c>
      <c r="N91" s="0" t="b">
        <v>0</v>
      </c>
      <c r="O91" s="2">
        <v>44613.583333333336</v>
      </c>
      <c r="P91" s="2">
        <v>44613.625</v>
      </c>
      <c r="Q91" s="2">
        <v>44613.208333333336</v>
      </c>
      <c r="R91" s="2">
        <v>44613.25</v>
      </c>
      <c r="S91" s="0">
        <v>60</v>
      </c>
      <c r="T91" s="0">
        <v>12</v>
      </c>
      <c r="U91" s="0">
        <v>39</v>
      </c>
      <c r="V91" s="0">
        <v>299</v>
      </c>
      <c r="W91" s="1">
        <f>=HYPERLINK("10.175.1.14\MWEB.12\SEP\EntityDetails.10.175.1.14.MWEB.12.-inet-nyukai.299.xlsx", "&lt;Detail&gt;")</f>
      </c>
      <c r="X91" s="1">
        <f>=HYPERLINK("10.175.1.14\MWEB.12\SEP\MetricGraphs.SEP.10.175.1.14.MWEB.12.xlsx", "&lt;Metrics&gt;")</f>
      </c>
      <c r="Y91" s="0" t="s">
        <v>107</v>
      </c>
      <c r="Z91" s="0" t="s">
        <v>108</v>
      </c>
      <c r="AA91" s="0" t="s">
        <v>128</v>
      </c>
      <c r="AB91" s="0" t="s">
        <v>701</v>
      </c>
      <c r="AC91" s="0" t="s">
        <v>109</v>
      </c>
    </row>
    <row r="92">
      <c r="A92" s="0" t="s">
        <v>28</v>
      </c>
      <c r="B92" s="0" t="s">
        <v>30</v>
      </c>
      <c r="C92" s="0" t="s">
        <v>125</v>
      </c>
      <c r="D92" s="0" t="s">
        <v>299</v>
      </c>
      <c r="E92" s="0" t="s">
        <v>229</v>
      </c>
      <c r="F92" s="0">
        <v>0</v>
      </c>
      <c r="G92" s="0" t="s">
        <v>106</v>
      </c>
      <c r="H92" s="0">
        <v>0</v>
      </c>
      <c r="I92" s="0">
        <v>0</v>
      </c>
      <c r="J92" s="0">
        <v>0</v>
      </c>
      <c r="K92" s="0">
        <v>0</v>
      </c>
      <c r="L92" s="0">
        <v>0</v>
      </c>
      <c r="M92" s="0">
        <v>0</v>
      </c>
      <c r="N92" s="0" t="b">
        <v>0</v>
      </c>
      <c r="O92" s="2">
        <v>44613.583333333336</v>
      </c>
      <c r="P92" s="2">
        <v>44613.625</v>
      </c>
      <c r="Q92" s="2">
        <v>44613.208333333336</v>
      </c>
      <c r="R92" s="2">
        <v>44613.25</v>
      </c>
      <c r="S92" s="0">
        <v>60</v>
      </c>
      <c r="T92" s="0">
        <v>12</v>
      </c>
      <c r="U92" s="0">
        <v>42</v>
      </c>
      <c r="V92" s="0">
        <v>177</v>
      </c>
      <c r="W92" s="1">
        <f>=HYPERLINK("10.175.1.14\MWEB.12\SEP\EntityDetails.10.175.1.14.MWEB.12.-inet-online.177.xlsx", "&lt;Detail&gt;")</f>
      </c>
      <c r="X92" s="1">
        <f>=HYPERLINK("10.175.1.14\MWEB.12\SEP\MetricGraphs.SEP.10.175.1.14.MWEB.12.xlsx", "&lt;Metrics&gt;")</f>
      </c>
      <c r="Y92" s="0" t="s">
        <v>107</v>
      </c>
      <c r="Z92" s="0" t="s">
        <v>108</v>
      </c>
      <c r="AA92" s="0" t="s">
        <v>126</v>
      </c>
      <c r="AB92" s="0" t="s">
        <v>702</v>
      </c>
      <c r="AC92" s="0" t="s">
        <v>109</v>
      </c>
    </row>
    <row r="93">
      <c r="A93" s="0" t="s">
        <v>28</v>
      </c>
      <c r="B93" s="0" t="s">
        <v>30</v>
      </c>
      <c r="C93" s="0" t="s">
        <v>131</v>
      </c>
      <c r="D93" s="0" t="s">
        <v>299</v>
      </c>
      <c r="E93" s="0" t="s">
        <v>229</v>
      </c>
      <c r="F93" s="0">
        <v>0</v>
      </c>
      <c r="G93" s="0" t="s">
        <v>106</v>
      </c>
      <c r="H93" s="0">
        <v>0</v>
      </c>
      <c r="I93" s="0">
        <v>0</v>
      </c>
      <c r="J93" s="0">
        <v>0</v>
      </c>
      <c r="K93" s="0">
        <v>0</v>
      </c>
      <c r="L93" s="0">
        <v>0</v>
      </c>
      <c r="M93" s="0">
        <v>0</v>
      </c>
      <c r="N93" s="0" t="b">
        <v>0</v>
      </c>
      <c r="O93" s="2">
        <v>44613.583333333336</v>
      </c>
      <c r="P93" s="2">
        <v>44613.625</v>
      </c>
      <c r="Q93" s="2">
        <v>44613.208333333336</v>
      </c>
      <c r="R93" s="2">
        <v>44613.25</v>
      </c>
      <c r="S93" s="0">
        <v>60</v>
      </c>
      <c r="T93" s="0">
        <v>12</v>
      </c>
      <c r="U93" s="0">
        <v>40</v>
      </c>
      <c r="V93" s="0">
        <v>1567</v>
      </c>
      <c r="W93" s="1">
        <f>=HYPERLINK("10.175.1.14\MWEB.12\SEP\EntityDetails.10.175.1.14.MWEB.12.-inet-online.1567.xlsx", "&lt;Detail&gt;")</f>
      </c>
      <c r="X93" s="1">
        <f>=HYPERLINK("10.175.1.14\MWEB.12\SEP\MetricGraphs.SEP.10.175.1.14.MWEB.12.xlsx", "&lt;Metrics&gt;")</f>
      </c>
      <c r="Y93" s="0" t="s">
        <v>107</v>
      </c>
      <c r="Z93" s="0" t="s">
        <v>108</v>
      </c>
      <c r="AA93" s="0" t="s">
        <v>132</v>
      </c>
      <c r="AB93" s="0" t="s">
        <v>703</v>
      </c>
      <c r="AC93" s="0" t="s">
        <v>109</v>
      </c>
    </row>
    <row r="94">
      <c r="A94" s="0" t="s">
        <v>28</v>
      </c>
      <c r="B94" s="0" t="s">
        <v>30</v>
      </c>
      <c r="C94" s="0" t="s">
        <v>125</v>
      </c>
      <c r="D94" s="0" t="s">
        <v>301</v>
      </c>
      <c r="E94" s="0" t="s">
        <v>229</v>
      </c>
      <c r="F94" s="0">
        <v>0</v>
      </c>
      <c r="G94" s="0" t="s">
        <v>106</v>
      </c>
      <c r="H94" s="0">
        <v>0</v>
      </c>
      <c r="I94" s="0">
        <v>0</v>
      </c>
      <c r="J94" s="0">
        <v>0</v>
      </c>
      <c r="K94" s="0">
        <v>0</v>
      </c>
      <c r="L94" s="0">
        <v>0</v>
      </c>
      <c r="M94" s="0">
        <v>0</v>
      </c>
      <c r="N94" s="0" t="b">
        <v>0</v>
      </c>
      <c r="O94" s="2">
        <v>44613.583333333336</v>
      </c>
      <c r="P94" s="2">
        <v>44613.625</v>
      </c>
      <c r="Q94" s="2">
        <v>44613.208333333336</v>
      </c>
      <c r="R94" s="2">
        <v>44613.25</v>
      </c>
      <c r="S94" s="0">
        <v>60</v>
      </c>
      <c r="T94" s="0">
        <v>12</v>
      </c>
      <c r="U94" s="0">
        <v>42</v>
      </c>
      <c r="V94" s="0">
        <v>192</v>
      </c>
      <c r="W94" s="1">
        <f>=HYPERLINK("10.175.1.14\MWEB.12\SEP\EntityDetails.10.175.1.14.MWEB.12.-inet-postac.192.xlsx", "&lt;Detail&gt;")</f>
      </c>
      <c r="X94" s="1">
        <f>=HYPERLINK("10.175.1.14\MWEB.12\SEP\MetricGraphs.SEP.10.175.1.14.MWEB.12.xlsx", "&lt;Metrics&gt;")</f>
      </c>
      <c r="Y94" s="0" t="s">
        <v>107</v>
      </c>
      <c r="Z94" s="0" t="s">
        <v>108</v>
      </c>
      <c r="AA94" s="0" t="s">
        <v>126</v>
      </c>
      <c r="AB94" s="0" t="s">
        <v>704</v>
      </c>
      <c r="AC94" s="0" t="s">
        <v>109</v>
      </c>
    </row>
    <row r="95">
      <c r="A95" s="0" t="s">
        <v>28</v>
      </c>
      <c r="B95" s="0" t="s">
        <v>30</v>
      </c>
      <c r="C95" s="0" t="s">
        <v>125</v>
      </c>
      <c r="D95" s="0" t="s">
        <v>303</v>
      </c>
      <c r="E95" s="0" t="s">
        <v>229</v>
      </c>
      <c r="F95" s="0">
        <v>0</v>
      </c>
      <c r="G95" s="0" t="s">
        <v>106</v>
      </c>
      <c r="H95" s="0">
        <v>0</v>
      </c>
      <c r="I95" s="0">
        <v>0</v>
      </c>
      <c r="J95" s="0">
        <v>0</v>
      </c>
      <c r="K95" s="0">
        <v>0</v>
      </c>
      <c r="L95" s="0">
        <v>0</v>
      </c>
      <c r="M95" s="0">
        <v>0</v>
      </c>
      <c r="N95" s="0" t="b">
        <v>0</v>
      </c>
      <c r="O95" s="2">
        <v>44613.583333333336</v>
      </c>
      <c r="P95" s="2">
        <v>44613.625</v>
      </c>
      <c r="Q95" s="2">
        <v>44613.208333333336</v>
      </c>
      <c r="R95" s="2">
        <v>44613.25</v>
      </c>
      <c r="S95" s="0">
        <v>60</v>
      </c>
      <c r="T95" s="0">
        <v>12</v>
      </c>
      <c r="U95" s="0">
        <v>42</v>
      </c>
      <c r="V95" s="0">
        <v>306</v>
      </c>
      <c r="W95" s="1">
        <f>=HYPERLINK("10.175.1.14\MWEB.12\SEP\EntityDetails.10.175.1.14.MWEB.12.-inet-rwd.306.xlsx", "&lt;Detail&gt;")</f>
      </c>
      <c r="X95" s="1">
        <f>=HYPERLINK("10.175.1.14\MWEB.12\SEP\MetricGraphs.SEP.10.175.1.14.MWEB.12.xlsx", "&lt;Metrics&gt;")</f>
      </c>
      <c r="Y95" s="0" t="s">
        <v>107</v>
      </c>
      <c r="Z95" s="0" t="s">
        <v>108</v>
      </c>
      <c r="AA95" s="0" t="s">
        <v>126</v>
      </c>
      <c r="AB95" s="0" t="s">
        <v>705</v>
      </c>
      <c r="AC95" s="0" t="s">
        <v>109</v>
      </c>
    </row>
    <row r="96">
      <c r="A96" s="0" t="s">
        <v>28</v>
      </c>
      <c r="B96" s="0" t="s">
        <v>30</v>
      </c>
      <c r="C96" s="0" t="s">
        <v>125</v>
      </c>
      <c r="D96" s="0" t="s">
        <v>305</v>
      </c>
      <c r="E96" s="0" t="s">
        <v>229</v>
      </c>
      <c r="F96" s="0">
        <v>0</v>
      </c>
      <c r="G96" s="0" t="s">
        <v>106</v>
      </c>
      <c r="H96" s="0">
        <v>0</v>
      </c>
      <c r="I96" s="0">
        <v>0</v>
      </c>
      <c r="J96" s="0">
        <v>0</v>
      </c>
      <c r="K96" s="0">
        <v>0</v>
      </c>
      <c r="L96" s="0">
        <v>0</v>
      </c>
      <c r="M96" s="0">
        <v>0</v>
      </c>
      <c r="N96" s="0" t="b">
        <v>0</v>
      </c>
      <c r="O96" s="2">
        <v>44613.583333333336</v>
      </c>
      <c r="P96" s="2">
        <v>44613.625</v>
      </c>
      <c r="Q96" s="2">
        <v>44613.208333333336</v>
      </c>
      <c r="R96" s="2">
        <v>44613.25</v>
      </c>
      <c r="S96" s="0">
        <v>60</v>
      </c>
      <c r="T96" s="0">
        <v>12</v>
      </c>
      <c r="U96" s="0">
        <v>42</v>
      </c>
      <c r="V96" s="0">
        <v>317</v>
      </c>
      <c r="W96" s="1">
        <f>=HYPERLINK("10.175.1.14\MWEB.12\SEP\EntityDetails.10.175.1.14.MWEB.12.-inet-seamle.317.xlsx", "&lt;Detail&gt;")</f>
      </c>
      <c r="X96" s="1">
        <f>=HYPERLINK("10.175.1.14\MWEB.12\SEP\MetricGraphs.SEP.10.175.1.14.MWEB.12.xlsx", "&lt;Metrics&gt;")</f>
      </c>
      <c r="Y96" s="0" t="s">
        <v>107</v>
      </c>
      <c r="Z96" s="0" t="s">
        <v>108</v>
      </c>
      <c r="AA96" s="0" t="s">
        <v>126</v>
      </c>
      <c r="AB96" s="0" t="s">
        <v>706</v>
      </c>
      <c r="AC96" s="0" t="s">
        <v>109</v>
      </c>
    </row>
    <row r="97">
      <c r="A97" s="0" t="s">
        <v>28</v>
      </c>
      <c r="B97" s="0" t="s">
        <v>30</v>
      </c>
      <c r="C97" s="0" t="s">
        <v>125</v>
      </c>
      <c r="D97" s="0" t="s">
        <v>307</v>
      </c>
      <c r="E97" s="0" t="s">
        <v>229</v>
      </c>
      <c r="F97" s="0">
        <v>0</v>
      </c>
      <c r="G97" s="0" t="s">
        <v>106</v>
      </c>
      <c r="H97" s="0">
        <v>0</v>
      </c>
      <c r="I97" s="0">
        <v>0</v>
      </c>
      <c r="J97" s="0">
        <v>0</v>
      </c>
      <c r="K97" s="0">
        <v>0</v>
      </c>
      <c r="L97" s="0">
        <v>0</v>
      </c>
      <c r="M97" s="0">
        <v>0</v>
      </c>
      <c r="N97" s="0" t="b">
        <v>0</v>
      </c>
      <c r="O97" s="2">
        <v>44613.583333333336</v>
      </c>
      <c r="P97" s="2">
        <v>44613.625</v>
      </c>
      <c r="Q97" s="2">
        <v>44613.208333333336</v>
      </c>
      <c r="R97" s="2">
        <v>44613.25</v>
      </c>
      <c r="S97" s="0">
        <v>60</v>
      </c>
      <c r="T97" s="0">
        <v>12</v>
      </c>
      <c r="U97" s="0">
        <v>42</v>
      </c>
      <c r="V97" s="0">
        <v>194</v>
      </c>
      <c r="W97" s="1">
        <f>=HYPERLINK("10.175.1.14\MWEB.12\SEP\EntityDetails.10.175.1.14.MWEB.12.-inet-shiryo.194.xlsx", "&lt;Detail&gt;")</f>
      </c>
      <c r="X97" s="1">
        <f>=HYPERLINK("10.175.1.14\MWEB.12\SEP\MetricGraphs.SEP.10.175.1.14.MWEB.12.xlsx", "&lt;Metrics&gt;")</f>
      </c>
      <c r="Y97" s="0" t="s">
        <v>107</v>
      </c>
      <c r="Z97" s="0" t="s">
        <v>108</v>
      </c>
      <c r="AA97" s="0" t="s">
        <v>126</v>
      </c>
      <c r="AB97" s="0" t="s">
        <v>707</v>
      </c>
      <c r="AC97" s="0" t="s">
        <v>109</v>
      </c>
    </row>
    <row r="98">
      <c r="A98" s="0" t="s">
        <v>28</v>
      </c>
      <c r="B98" s="0" t="s">
        <v>30</v>
      </c>
      <c r="C98" s="0" t="s">
        <v>125</v>
      </c>
      <c r="D98" s="0" t="s">
        <v>309</v>
      </c>
      <c r="E98" s="0" t="s">
        <v>229</v>
      </c>
      <c r="F98" s="0">
        <v>0</v>
      </c>
      <c r="G98" s="0" t="s">
        <v>106</v>
      </c>
      <c r="H98" s="0">
        <v>0</v>
      </c>
      <c r="I98" s="0">
        <v>0</v>
      </c>
      <c r="J98" s="0">
        <v>0</v>
      </c>
      <c r="K98" s="0">
        <v>0</v>
      </c>
      <c r="L98" s="0">
        <v>0</v>
      </c>
      <c r="M98" s="0">
        <v>0</v>
      </c>
      <c r="N98" s="0" t="b">
        <v>0</v>
      </c>
      <c r="O98" s="2">
        <v>44613.583333333336</v>
      </c>
      <c r="P98" s="2">
        <v>44613.625</v>
      </c>
      <c r="Q98" s="2">
        <v>44613.208333333336</v>
      </c>
      <c r="R98" s="2">
        <v>44613.25</v>
      </c>
      <c r="S98" s="0">
        <v>60</v>
      </c>
      <c r="T98" s="0">
        <v>12</v>
      </c>
      <c r="U98" s="0">
        <v>42</v>
      </c>
      <c r="V98" s="0">
        <v>191</v>
      </c>
      <c r="W98" s="1">
        <f>=HYPERLINK("10.175.1.14\MWEB.12\SEP\EntityDetails.10.175.1.14.MWEB.12.-inet-siryo.191.xlsx", "&lt;Detail&gt;")</f>
      </c>
      <c r="X98" s="1">
        <f>=HYPERLINK("10.175.1.14\MWEB.12\SEP\MetricGraphs.SEP.10.175.1.14.MWEB.12.xlsx", "&lt;Metrics&gt;")</f>
      </c>
      <c r="Y98" s="0" t="s">
        <v>107</v>
      </c>
      <c r="Z98" s="0" t="s">
        <v>108</v>
      </c>
      <c r="AA98" s="0" t="s">
        <v>126</v>
      </c>
      <c r="AB98" s="0" t="s">
        <v>708</v>
      </c>
      <c r="AC98" s="0" t="s">
        <v>109</v>
      </c>
    </row>
    <row r="99">
      <c r="A99" s="0" t="s">
        <v>28</v>
      </c>
      <c r="B99" s="0" t="s">
        <v>30</v>
      </c>
      <c r="C99" s="0" t="s">
        <v>125</v>
      </c>
      <c r="D99" s="0" t="s">
        <v>709</v>
      </c>
      <c r="E99" s="0" t="s">
        <v>229</v>
      </c>
      <c r="F99" s="0">
        <v>0</v>
      </c>
      <c r="G99" s="0" t="s">
        <v>106</v>
      </c>
      <c r="H99" s="0">
        <v>0</v>
      </c>
      <c r="I99" s="0">
        <v>0</v>
      </c>
      <c r="J99" s="0">
        <v>0</v>
      </c>
      <c r="K99" s="0">
        <v>0</v>
      </c>
      <c r="L99" s="0">
        <v>0</v>
      </c>
      <c r="M99" s="0">
        <v>0</v>
      </c>
      <c r="N99" s="0" t="b">
        <v>0</v>
      </c>
      <c r="O99" s="2">
        <v>44613.583333333336</v>
      </c>
      <c r="P99" s="2">
        <v>44613.625</v>
      </c>
      <c r="Q99" s="2">
        <v>44613.208333333336</v>
      </c>
      <c r="R99" s="2">
        <v>44613.25</v>
      </c>
      <c r="S99" s="0">
        <v>60</v>
      </c>
      <c r="T99" s="0">
        <v>12</v>
      </c>
      <c r="U99" s="0">
        <v>42</v>
      </c>
      <c r="V99" s="0">
        <v>710</v>
      </c>
      <c r="W99" s="1">
        <f>=HYPERLINK("10.175.1.14\MWEB.12\SEP\EntityDetails.10.175.1.14.MWEB.12.-inet-test.j.710.xlsx", "&lt;Detail&gt;")</f>
      </c>
      <c r="X99" s="1">
        <f>=HYPERLINK("10.175.1.14\MWEB.12\SEP\MetricGraphs.SEP.10.175.1.14.MWEB.12.xlsx", "&lt;Metrics&gt;")</f>
      </c>
      <c r="Y99" s="0" t="s">
        <v>107</v>
      </c>
      <c r="Z99" s="0" t="s">
        <v>108</v>
      </c>
      <c r="AA99" s="0" t="s">
        <v>126</v>
      </c>
      <c r="AB99" s="0" t="s">
        <v>710</v>
      </c>
      <c r="AC99" s="0" t="s">
        <v>109</v>
      </c>
    </row>
    <row r="100">
      <c r="A100" s="0" t="s">
        <v>28</v>
      </c>
      <c r="B100" s="0" t="s">
        <v>30</v>
      </c>
      <c r="C100" s="0" t="s">
        <v>125</v>
      </c>
      <c r="D100" s="0" t="s">
        <v>311</v>
      </c>
      <c r="E100" s="0" t="s">
        <v>229</v>
      </c>
      <c r="F100" s="0">
        <v>0</v>
      </c>
      <c r="G100" s="0" t="s">
        <v>106</v>
      </c>
      <c r="H100" s="0">
        <v>0</v>
      </c>
      <c r="I100" s="0">
        <v>0</v>
      </c>
      <c r="J100" s="0">
        <v>0</v>
      </c>
      <c r="K100" s="0">
        <v>0</v>
      </c>
      <c r="L100" s="0">
        <v>0</v>
      </c>
      <c r="M100" s="0">
        <v>0</v>
      </c>
      <c r="N100" s="0" t="b">
        <v>0</v>
      </c>
      <c r="O100" s="2">
        <v>44613.583333333336</v>
      </c>
      <c r="P100" s="2">
        <v>44613.625</v>
      </c>
      <c r="Q100" s="2">
        <v>44613.208333333336</v>
      </c>
      <c r="R100" s="2">
        <v>44613.25</v>
      </c>
      <c r="S100" s="0">
        <v>60</v>
      </c>
      <c r="T100" s="0">
        <v>12</v>
      </c>
      <c r="U100" s="0">
        <v>42</v>
      </c>
      <c r="V100" s="0">
        <v>181</v>
      </c>
      <c r="W100" s="1">
        <f>=HYPERLINK("10.175.1.14\MWEB.12\SEP\EntityDetails.10.175.1.14.MWEB.12.-inet-toto.181.xlsx", "&lt;Detail&gt;")</f>
      </c>
      <c r="X100" s="1">
        <f>=HYPERLINK("10.175.1.14\MWEB.12\SEP\MetricGraphs.SEP.10.175.1.14.MWEB.12.xlsx", "&lt;Metrics&gt;")</f>
      </c>
      <c r="Y100" s="0" t="s">
        <v>107</v>
      </c>
      <c r="Z100" s="0" t="s">
        <v>108</v>
      </c>
      <c r="AA100" s="0" t="s">
        <v>126</v>
      </c>
      <c r="AB100" s="0" t="s">
        <v>711</v>
      </c>
      <c r="AC100" s="0" t="s">
        <v>109</v>
      </c>
    </row>
    <row r="101">
      <c r="A101" s="0" t="s">
        <v>28</v>
      </c>
      <c r="B101" s="0" t="s">
        <v>30</v>
      </c>
      <c r="C101" s="0" t="s">
        <v>125</v>
      </c>
      <c r="D101" s="0" t="s">
        <v>313</v>
      </c>
      <c r="E101" s="0" t="s">
        <v>229</v>
      </c>
      <c r="F101" s="0">
        <v>0</v>
      </c>
      <c r="G101" s="0" t="s">
        <v>106</v>
      </c>
      <c r="H101" s="0">
        <v>0</v>
      </c>
      <c r="I101" s="0">
        <v>0</v>
      </c>
      <c r="J101" s="0">
        <v>0</v>
      </c>
      <c r="K101" s="0">
        <v>0</v>
      </c>
      <c r="L101" s="0">
        <v>0</v>
      </c>
      <c r="M101" s="0">
        <v>0</v>
      </c>
      <c r="N101" s="0" t="b">
        <v>0</v>
      </c>
      <c r="O101" s="2">
        <v>44613.583333333336</v>
      </c>
      <c r="P101" s="2">
        <v>44613.625</v>
      </c>
      <c r="Q101" s="2">
        <v>44613.208333333336</v>
      </c>
      <c r="R101" s="2">
        <v>44613.25</v>
      </c>
      <c r="S101" s="0">
        <v>60</v>
      </c>
      <c r="T101" s="0">
        <v>12</v>
      </c>
      <c r="U101" s="0">
        <v>42</v>
      </c>
      <c r="V101" s="0">
        <v>190</v>
      </c>
      <c r="W101" s="1">
        <f>=HYPERLINK("10.175.1.14\MWEB.12\SEP\EntityDetails.10.175.1.14.MWEB.12.-inet-TotoSi.190.xlsx", "&lt;Detail&gt;")</f>
      </c>
      <c r="X101" s="1">
        <f>=HYPERLINK("10.175.1.14\MWEB.12\SEP\MetricGraphs.SEP.10.175.1.14.MWEB.12.xlsx", "&lt;Metrics&gt;")</f>
      </c>
      <c r="Y101" s="0" t="s">
        <v>107</v>
      </c>
      <c r="Z101" s="0" t="s">
        <v>108</v>
      </c>
      <c r="AA101" s="0" t="s">
        <v>126</v>
      </c>
      <c r="AB101" s="0" t="s">
        <v>712</v>
      </c>
      <c r="AC101" s="0" t="s">
        <v>109</v>
      </c>
    </row>
    <row r="102">
      <c r="A102" s="0" t="s">
        <v>28</v>
      </c>
      <c r="B102" s="0" t="s">
        <v>30</v>
      </c>
      <c r="C102" s="0" t="s">
        <v>131</v>
      </c>
      <c r="D102" s="0" t="s">
        <v>713</v>
      </c>
      <c r="E102" s="0" t="s">
        <v>229</v>
      </c>
      <c r="F102" s="0">
        <v>0</v>
      </c>
      <c r="G102" s="0" t="s">
        <v>106</v>
      </c>
      <c r="H102" s="0">
        <v>0</v>
      </c>
      <c r="I102" s="0">
        <v>0</v>
      </c>
      <c r="J102" s="0">
        <v>0</v>
      </c>
      <c r="K102" s="0">
        <v>0</v>
      </c>
      <c r="L102" s="0">
        <v>0</v>
      </c>
      <c r="M102" s="0">
        <v>0</v>
      </c>
      <c r="N102" s="0" t="b">
        <v>0</v>
      </c>
      <c r="O102" s="2">
        <v>44613.583333333336</v>
      </c>
      <c r="P102" s="2">
        <v>44613.625</v>
      </c>
      <c r="Q102" s="2">
        <v>44613.208333333336</v>
      </c>
      <c r="R102" s="2">
        <v>44613.25</v>
      </c>
      <c r="S102" s="0">
        <v>60</v>
      </c>
      <c r="T102" s="0">
        <v>12</v>
      </c>
      <c r="U102" s="0">
        <v>40</v>
      </c>
      <c r="V102" s="0">
        <v>433</v>
      </c>
      <c r="W102" s="1">
        <f>=HYPERLINK("10.175.1.14\MWEB.12\SEP\EntityDetails.10.175.1.14.MWEB.12.-inet-ufjc.433.xlsx", "&lt;Detail&gt;")</f>
      </c>
      <c r="X102" s="1">
        <f>=HYPERLINK("10.175.1.14\MWEB.12\SEP\MetricGraphs.SEP.10.175.1.14.MWEB.12.xlsx", "&lt;Metrics&gt;")</f>
      </c>
      <c r="Y102" s="0" t="s">
        <v>107</v>
      </c>
      <c r="Z102" s="0" t="s">
        <v>108</v>
      </c>
      <c r="AA102" s="0" t="s">
        <v>132</v>
      </c>
      <c r="AB102" s="0" t="s">
        <v>714</v>
      </c>
      <c r="AC102" s="0" t="s">
        <v>109</v>
      </c>
    </row>
    <row r="103">
      <c r="A103" s="0" t="s">
        <v>28</v>
      </c>
      <c r="B103" s="0" t="s">
        <v>30</v>
      </c>
      <c r="C103" s="0" t="s">
        <v>125</v>
      </c>
      <c r="D103" s="0" t="s">
        <v>315</v>
      </c>
      <c r="E103" s="0" t="s">
        <v>229</v>
      </c>
      <c r="F103" s="0">
        <v>0</v>
      </c>
      <c r="G103" s="0" t="s">
        <v>106</v>
      </c>
      <c r="H103" s="0">
        <v>0</v>
      </c>
      <c r="I103" s="0">
        <v>0</v>
      </c>
      <c r="J103" s="0">
        <v>0</v>
      </c>
      <c r="K103" s="0">
        <v>0</v>
      </c>
      <c r="L103" s="0">
        <v>0</v>
      </c>
      <c r="M103" s="0">
        <v>0</v>
      </c>
      <c r="N103" s="0" t="b">
        <v>0</v>
      </c>
      <c r="O103" s="2">
        <v>44613.583333333336</v>
      </c>
      <c r="P103" s="2">
        <v>44613.625</v>
      </c>
      <c r="Q103" s="2">
        <v>44613.208333333336</v>
      </c>
      <c r="R103" s="2">
        <v>44613.25</v>
      </c>
      <c r="S103" s="0">
        <v>60</v>
      </c>
      <c r="T103" s="0">
        <v>12</v>
      </c>
      <c r="U103" s="0">
        <v>42</v>
      </c>
      <c r="V103" s="0">
        <v>1177</v>
      </c>
      <c r="W103" s="1">
        <f>=HYPERLINK("10.175.1.14\MWEB.12\SEP\EntityDetails.10.175.1.14.MWEB.12.-intruvert-j.1177.xlsx", "&lt;Detail&gt;")</f>
      </c>
      <c r="X103" s="1">
        <f>=HYPERLINK("10.175.1.14\MWEB.12\SEP\MetricGraphs.SEP.10.175.1.14.MWEB.12.xlsx", "&lt;Metrics&gt;")</f>
      </c>
      <c r="Y103" s="0" t="s">
        <v>107</v>
      </c>
      <c r="Z103" s="0" t="s">
        <v>108</v>
      </c>
      <c r="AA103" s="0" t="s">
        <v>126</v>
      </c>
      <c r="AB103" s="0" t="s">
        <v>715</v>
      </c>
      <c r="AC103" s="0" t="s">
        <v>109</v>
      </c>
    </row>
    <row r="104">
      <c r="A104" s="0" t="s">
        <v>28</v>
      </c>
      <c r="B104" s="0" t="s">
        <v>30</v>
      </c>
      <c r="C104" s="0" t="s">
        <v>127</v>
      </c>
      <c r="D104" s="0" t="s">
        <v>315</v>
      </c>
      <c r="E104" s="0" t="s">
        <v>229</v>
      </c>
      <c r="F104" s="0">
        <v>0</v>
      </c>
      <c r="G104" s="0" t="s">
        <v>106</v>
      </c>
      <c r="H104" s="0">
        <v>0</v>
      </c>
      <c r="I104" s="0">
        <v>0</v>
      </c>
      <c r="J104" s="0">
        <v>0</v>
      </c>
      <c r="K104" s="0">
        <v>0</v>
      </c>
      <c r="L104" s="0">
        <v>0</v>
      </c>
      <c r="M104" s="0">
        <v>0</v>
      </c>
      <c r="N104" s="0" t="b">
        <v>0</v>
      </c>
      <c r="O104" s="2">
        <v>44613.583333333336</v>
      </c>
      <c r="P104" s="2">
        <v>44613.625</v>
      </c>
      <c r="Q104" s="2">
        <v>44613.208333333336</v>
      </c>
      <c r="R104" s="2">
        <v>44613.25</v>
      </c>
      <c r="S104" s="0">
        <v>60</v>
      </c>
      <c r="T104" s="0">
        <v>12</v>
      </c>
      <c r="U104" s="0">
        <v>39</v>
      </c>
      <c r="V104" s="0">
        <v>1199</v>
      </c>
      <c r="W104" s="1">
        <f>=HYPERLINK("10.175.1.14\MWEB.12\SEP\EntityDetails.10.175.1.14.MWEB.12.-intruvert-j.1199.xlsx", "&lt;Detail&gt;")</f>
      </c>
      <c r="X104" s="1">
        <f>=HYPERLINK("10.175.1.14\MWEB.12\SEP\MetricGraphs.SEP.10.175.1.14.MWEB.12.xlsx", "&lt;Metrics&gt;")</f>
      </c>
      <c r="Y104" s="0" t="s">
        <v>107</v>
      </c>
      <c r="Z104" s="0" t="s">
        <v>108</v>
      </c>
      <c r="AA104" s="0" t="s">
        <v>128</v>
      </c>
      <c r="AB104" s="0" t="s">
        <v>716</v>
      </c>
      <c r="AC104" s="0" t="s">
        <v>109</v>
      </c>
    </row>
    <row r="105">
      <c r="A105" s="0" t="s">
        <v>28</v>
      </c>
      <c r="B105" s="0" t="s">
        <v>30</v>
      </c>
      <c r="C105" s="0" t="s">
        <v>133</v>
      </c>
      <c r="D105" s="0" t="s">
        <v>315</v>
      </c>
      <c r="E105" s="0" t="s">
        <v>229</v>
      </c>
      <c r="F105" s="0">
        <v>0</v>
      </c>
      <c r="G105" s="0" t="s">
        <v>106</v>
      </c>
      <c r="H105" s="0">
        <v>0</v>
      </c>
      <c r="I105" s="0">
        <v>0</v>
      </c>
      <c r="J105" s="0">
        <v>0</v>
      </c>
      <c r="K105" s="0">
        <v>0</v>
      </c>
      <c r="L105" s="0">
        <v>0</v>
      </c>
      <c r="M105" s="0">
        <v>0</v>
      </c>
      <c r="N105" s="0" t="b">
        <v>0</v>
      </c>
      <c r="O105" s="2">
        <v>44613.583333333336</v>
      </c>
      <c r="P105" s="2">
        <v>44613.625</v>
      </c>
      <c r="Q105" s="2">
        <v>44613.208333333336</v>
      </c>
      <c r="R105" s="2">
        <v>44613.25</v>
      </c>
      <c r="S105" s="0">
        <v>60</v>
      </c>
      <c r="T105" s="0">
        <v>12</v>
      </c>
      <c r="U105" s="0">
        <v>36</v>
      </c>
      <c r="V105" s="0">
        <v>1224</v>
      </c>
      <c r="W105" s="1">
        <f>=HYPERLINK("10.175.1.14\MWEB.12\SEP\EntityDetails.10.175.1.14.MWEB.12.-intruvert-j.1224.xlsx", "&lt;Detail&gt;")</f>
      </c>
      <c r="X105" s="1">
        <f>=HYPERLINK("10.175.1.14\MWEB.12\SEP\MetricGraphs.SEP.10.175.1.14.MWEB.12.xlsx", "&lt;Metrics&gt;")</f>
      </c>
      <c r="Y105" s="0" t="s">
        <v>107</v>
      </c>
      <c r="Z105" s="0" t="s">
        <v>108</v>
      </c>
      <c r="AA105" s="0" t="s">
        <v>134</v>
      </c>
      <c r="AB105" s="0" t="s">
        <v>717</v>
      </c>
      <c r="AC105" s="0" t="s">
        <v>109</v>
      </c>
    </row>
    <row r="106">
      <c r="A106" s="0" t="s">
        <v>28</v>
      </c>
      <c r="B106" s="0" t="s">
        <v>30</v>
      </c>
      <c r="C106" s="0" t="s">
        <v>125</v>
      </c>
      <c r="D106" s="0" t="s">
        <v>317</v>
      </c>
      <c r="E106" s="0" t="s">
        <v>229</v>
      </c>
      <c r="F106" s="0">
        <v>0</v>
      </c>
      <c r="G106" s="0" t="s">
        <v>106</v>
      </c>
      <c r="H106" s="0">
        <v>0</v>
      </c>
      <c r="I106" s="0">
        <v>0</v>
      </c>
      <c r="J106" s="0">
        <v>0</v>
      </c>
      <c r="K106" s="0">
        <v>0</v>
      </c>
      <c r="L106" s="0">
        <v>0</v>
      </c>
      <c r="M106" s="0">
        <v>0</v>
      </c>
      <c r="N106" s="0" t="b">
        <v>0</v>
      </c>
      <c r="O106" s="2">
        <v>44613.583333333336</v>
      </c>
      <c r="P106" s="2">
        <v>44613.625</v>
      </c>
      <c r="Q106" s="2">
        <v>44613.208333333336</v>
      </c>
      <c r="R106" s="2">
        <v>44613.25</v>
      </c>
      <c r="S106" s="0">
        <v>60</v>
      </c>
      <c r="T106" s="0">
        <v>12</v>
      </c>
      <c r="U106" s="0">
        <v>42</v>
      </c>
      <c r="V106" s="0">
        <v>202</v>
      </c>
      <c r="W106" s="1">
        <f>=HYPERLINK("10.175.1.14\MWEB.12\SEP\EntityDetails.10.175.1.14.MWEB.12.-IPJSETTLEME.202.xlsx", "&lt;Detail&gt;")</f>
      </c>
      <c r="X106" s="1">
        <f>=HYPERLINK("10.175.1.14\MWEB.12\SEP\MetricGraphs.SEP.10.175.1.14.MWEB.12.xlsx", "&lt;Metrics&gt;")</f>
      </c>
      <c r="Y106" s="0" t="s">
        <v>107</v>
      </c>
      <c r="Z106" s="0" t="s">
        <v>108</v>
      </c>
      <c r="AA106" s="0" t="s">
        <v>126</v>
      </c>
      <c r="AB106" s="0" t="s">
        <v>718</v>
      </c>
      <c r="AC106" s="0" t="s">
        <v>109</v>
      </c>
    </row>
    <row r="107">
      <c r="A107" s="0" t="s">
        <v>28</v>
      </c>
      <c r="B107" s="0" t="s">
        <v>30</v>
      </c>
      <c r="C107" s="0" t="s">
        <v>133</v>
      </c>
      <c r="D107" s="0" t="s">
        <v>317</v>
      </c>
      <c r="E107" s="0" t="s">
        <v>229</v>
      </c>
      <c r="F107" s="0">
        <v>0</v>
      </c>
      <c r="G107" s="0" t="s">
        <v>106</v>
      </c>
      <c r="H107" s="0">
        <v>0</v>
      </c>
      <c r="I107" s="0">
        <v>0</v>
      </c>
      <c r="J107" s="0">
        <v>0</v>
      </c>
      <c r="K107" s="0">
        <v>0</v>
      </c>
      <c r="L107" s="0">
        <v>0</v>
      </c>
      <c r="M107" s="0">
        <v>0</v>
      </c>
      <c r="N107" s="0" t="b">
        <v>0</v>
      </c>
      <c r="O107" s="2">
        <v>44613.583333333336</v>
      </c>
      <c r="P107" s="2">
        <v>44613.625</v>
      </c>
      <c r="Q107" s="2">
        <v>44613.208333333336</v>
      </c>
      <c r="R107" s="2">
        <v>44613.25</v>
      </c>
      <c r="S107" s="0">
        <v>60</v>
      </c>
      <c r="T107" s="0">
        <v>12</v>
      </c>
      <c r="U107" s="0">
        <v>36</v>
      </c>
      <c r="V107" s="0">
        <v>401</v>
      </c>
      <c r="W107" s="1">
        <f>=HYPERLINK("10.175.1.14\MWEB.12\SEP\EntityDetails.10.175.1.14.MWEB.12.-IPJSETTLEME.401.xlsx", "&lt;Detail&gt;")</f>
      </c>
      <c r="X107" s="1">
        <f>=HYPERLINK("10.175.1.14\MWEB.12\SEP\MetricGraphs.SEP.10.175.1.14.MWEB.12.xlsx", "&lt;Metrics&gt;")</f>
      </c>
      <c r="Y107" s="0" t="s">
        <v>107</v>
      </c>
      <c r="Z107" s="0" t="s">
        <v>108</v>
      </c>
      <c r="AA107" s="0" t="s">
        <v>134</v>
      </c>
      <c r="AB107" s="0" t="s">
        <v>719</v>
      </c>
      <c r="AC107" s="0" t="s">
        <v>109</v>
      </c>
    </row>
    <row r="108">
      <c r="A108" s="0" t="s">
        <v>28</v>
      </c>
      <c r="B108" s="0" t="s">
        <v>30</v>
      </c>
      <c r="C108" s="0" t="s">
        <v>143</v>
      </c>
      <c r="D108" s="0" t="s">
        <v>317</v>
      </c>
      <c r="E108" s="0" t="s">
        <v>229</v>
      </c>
      <c r="F108" s="0">
        <v>0</v>
      </c>
      <c r="G108" s="0" t="s">
        <v>106</v>
      </c>
      <c r="H108" s="0">
        <v>0</v>
      </c>
      <c r="I108" s="0">
        <v>0</v>
      </c>
      <c r="J108" s="0">
        <v>0</v>
      </c>
      <c r="K108" s="0">
        <v>0</v>
      </c>
      <c r="L108" s="0">
        <v>0</v>
      </c>
      <c r="M108" s="0">
        <v>0</v>
      </c>
      <c r="N108" s="0" t="b">
        <v>0</v>
      </c>
      <c r="O108" s="2">
        <v>44613.583333333336</v>
      </c>
      <c r="P108" s="2">
        <v>44613.625</v>
      </c>
      <c r="Q108" s="2">
        <v>44613.208333333336</v>
      </c>
      <c r="R108" s="2">
        <v>44613.25</v>
      </c>
      <c r="S108" s="0">
        <v>60</v>
      </c>
      <c r="T108" s="0">
        <v>12</v>
      </c>
      <c r="U108" s="0">
        <v>43</v>
      </c>
      <c r="V108" s="0">
        <v>95</v>
      </c>
      <c r="W108" s="1">
        <f>=HYPERLINK("10.175.1.14\MWEB.12\SEP\EntityDetails.10.175.1.14.MWEB.12.-IPJSETTLEME.95.xlsx", "&lt;Detail&gt;")</f>
      </c>
      <c r="X108" s="1">
        <f>=HYPERLINK("10.175.1.14\MWEB.12\SEP\MetricGraphs.SEP.10.175.1.14.MWEB.12.xlsx", "&lt;Metrics&gt;")</f>
      </c>
      <c r="Y108" s="0" t="s">
        <v>107</v>
      </c>
      <c r="Z108" s="0" t="s">
        <v>108</v>
      </c>
      <c r="AA108" s="0" t="s">
        <v>144</v>
      </c>
      <c r="AB108" s="0" t="s">
        <v>720</v>
      </c>
      <c r="AC108" s="0" t="s">
        <v>109</v>
      </c>
    </row>
    <row r="109">
      <c r="A109" s="0" t="s">
        <v>28</v>
      </c>
      <c r="B109" s="0" t="s">
        <v>30</v>
      </c>
      <c r="C109" s="0" t="s">
        <v>163</v>
      </c>
      <c r="D109" s="0" t="s">
        <v>317</v>
      </c>
      <c r="E109" s="0" t="s">
        <v>229</v>
      </c>
      <c r="F109" s="0">
        <v>0</v>
      </c>
      <c r="G109" s="0" t="s">
        <v>106</v>
      </c>
      <c r="H109" s="0">
        <v>0</v>
      </c>
      <c r="I109" s="0">
        <v>0</v>
      </c>
      <c r="J109" s="0">
        <v>0</v>
      </c>
      <c r="K109" s="0">
        <v>0</v>
      </c>
      <c r="L109" s="0">
        <v>0</v>
      </c>
      <c r="M109" s="0">
        <v>0</v>
      </c>
      <c r="N109" s="0" t="b">
        <v>0</v>
      </c>
      <c r="O109" s="2">
        <v>44613.583333333336</v>
      </c>
      <c r="P109" s="2">
        <v>44613.625</v>
      </c>
      <c r="Q109" s="2">
        <v>44613.208333333336</v>
      </c>
      <c r="R109" s="2">
        <v>44613.25</v>
      </c>
      <c r="S109" s="0">
        <v>60</v>
      </c>
      <c r="T109" s="0">
        <v>12</v>
      </c>
      <c r="U109" s="0">
        <v>55</v>
      </c>
      <c r="V109" s="0">
        <v>2055</v>
      </c>
      <c r="W109" s="1">
        <f>=HYPERLINK("10.175.1.14\MWEB.12\SEP\EntityDetails.10.175.1.14.MWEB.12.-IPJSETTLEME.2055.xlsx", "&lt;Detail&gt;")</f>
      </c>
      <c r="X109" s="1">
        <f>=HYPERLINK("10.175.1.14\MWEB.12\SEP\MetricGraphs.SEP.10.175.1.14.MWEB.12.xlsx", "&lt;Metrics&gt;")</f>
      </c>
      <c r="Y109" s="0" t="s">
        <v>107</v>
      </c>
      <c r="Z109" s="0" t="s">
        <v>108</v>
      </c>
      <c r="AA109" s="0" t="s">
        <v>164</v>
      </c>
      <c r="AB109" s="0" t="s">
        <v>721</v>
      </c>
      <c r="AC109" s="0" t="s">
        <v>109</v>
      </c>
    </row>
    <row r="110">
      <c r="A110" s="0" t="s">
        <v>28</v>
      </c>
      <c r="B110" s="0" t="s">
        <v>30</v>
      </c>
      <c r="C110" s="0" t="s">
        <v>125</v>
      </c>
      <c r="D110" s="0" t="s">
        <v>322</v>
      </c>
      <c r="E110" s="0" t="s">
        <v>229</v>
      </c>
      <c r="F110" s="0">
        <v>0</v>
      </c>
      <c r="G110" s="0" t="s">
        <v>106</v>
      </c>
      <c r="H110" s="0">
        <v>0</v>
      </c>
      <c r="I110" s="0">
        <v>0</v>
      </c>
      <c r="J110" s="0">
        <v>0</v>
      </c>
      <c r="K110" s="0">
        <v>0</v>
      </c>
      <c r="L110" s="0">
        <v>0</v>
      </c>
      <c r="M110" s="0">
        <v>0</v>
      </c>
      <c r="N110" s="0" t="b">
        <v>0</v>
      </c>
      <c r="O110" s="2">
        <v>44613.583333333336</v>
      </c>
      <c r="P110" s="2">
        <v>44613.625</v>
      </c>
      <c r="Q110" s="2">
        <v>44613.208333333336</v>
      </c>
      <c r="R110" s="2">
        <v>44613.25</v>
      </c>
      <c r="S110" s="0">
        <v>60</v>
      </c>
      <c r="T110" s="0">
        <v>12</v>
      </c>
      <c r="U110" s="0">
        <v>42</v>
      </c>
      <c r="V110" s="0">
        <v>216</v>
      </c>
      <c r="W110" s="1">
        <f>=HYPERLINK("10.175.1.14\MWEB.12\SEP\EntityDetails.10.175.1.14.MWEB.12.-JConnect-ac.216.xlsx", "&lt;Detail&gt;")</f>
      </c>
      <c r="X110" s="1">
        <f>=HYPERLINK("10.175.1.14\MWEB.12\SEP\MetricGraphs.SEP.10.175.1.14.MWEB.12.xlsx", "&lt;Metrics&gt;")</f>
      </c>
      <c r="Y110" s="0" t="s">
        <v>107</v>
      </c>
      <c r="Z110" s="0" t="s">
        <v>108</v>
      </c>
      <c r="AA110" s="0" t="s">
        <v>126</v>
      </c>
      <c r="AB110" s="0" t="s">
        <v>722</v>
      </c>
      <c r="AC110" s="0" t="s">
        <v>109</v>
      </c>
    </row>
    <row r="111">
      <c r="A111" s="0" t="s">
        <v>28</v>
      </c>
      <c r="B111" s="0" t="s">
        <v>30</v>
      </c>
      <c r="C111" s="0" t="s">
        <v>133</v>
      </c>
      <c r="D111" s="0" t="s">
        <v>322</v>
      </c>
      <c r="E111" s="0" t="s">
        <v>229</v>
      </c>
      <c r="F111" s="0">
        <v>0</v>
      </c>
      <c r="G111" s="0" t="s">
        <v>106</v>
      </c>
      <c r="H111" s="0">
        <v>0</v>
      </c>
      <c r="I111" s="0">
        <v>0</v>
      </c>
      <c r="J111" s="0">
        <v>0</v>
      </c>
      <c r="K111" s="0">
        <v>0</v>
      </c>
      <c r="L111" s="0">
        <v>0</v>
      </c>
      <c r="M111" s="0">
        <v>0</v>
      </c>
      <c r="N111" s="0" t="b">
        <v>0</v>
      </c>
      <c r="O111" s="2">
        <v>44613.583333333336</v>
      </c>
      <c r="P111" s="2">
        <v>44613.625</v>
      </c>
      <c r="Q111" s="2">
        <v>44613.208333333336</v>
      </c>
      <c r="R111" s="2">
        <v>44613.25</v>
      </c>
      <c r="S111" s="0">
        <v>60</v>
      </c>
      <c r="T111" s="0">
        <v>12</v>
      </c>
      <c r="U111" s="0">
        <v>36</v>
      </c>
      <c r="V111" s="0">
        <v>397</v>
      </c>
      <c r="W111" s="1">
        <f>=HYPERLINK("10.175.1.14\MWEB.12\SEP\EntityDetails.10.175.1.14.MWEB.12.-JConnect-ac.397.xlsx", "&lt;Detail&gt;")</f>
      </c>
      <c r="X111" s="1">
        <f>=HYPERLINK("10.175.1.14\MWEB.12\SEP\MetricGraphs.SEP.10.175.1.14.MWEB.12.xlsx", "&lt;Metrics&gt;")</f>
      </c>
      <c r="Y111" s="0" t="s">
        <v>107</v>
      </c>
      <c r="Z111" s="0" t="s">
        <v>108</v>
      </c>
      <c r="AA111" s="0" t="s">
        <v>134</v>
      </c>
      <c r="AB111" s="0" t="s">
        <v>723</v>
      </c>
      <c r="AC111" s="0" t="s">
        <v>109</v>
      </c>
    </row>
    <row r="112">
      <c r="A112" s="0" t="s">
        <v>28</v>
      </c>
      <c r="B112" s="0" t="s">
        <v>30</v>
      </c>
      <c r="C112" s="0" t="s">
        <v>125</v>
      </c>
      <c r="D112" s="0" t="s">
        <v>724</v>
      </c>
      <c r="E112" s="0" t="s">
        <v>229</v>
      </c>
      <c r="F112" s="0">
        <v>0</v>
      </c>
      <c r="G112" s="0" t="s">
        <v>106</v>
      </c>
      <c r="H112" s="0">
        <v>0</v>
      </c>
      <c r="I112" s="0">
        <v>0</v>
      </c>
      <c r="J112" s="0">
        <v>0</v>
      </c>
      <c r="K112" s="0">
        <v>0</v>
      </c>
      <c r="L112" s="0">
        <v>0</v>
      </c>
      <c r="M112" s="0">
        <v>0</v>
      </c>
      <c r="N112" s="0" t="b">
        <v>0</v>
      </c>
      <c r="O112" s="2">
        <v>44613.583333333336</v>
      </c>
      <c r="P112" s="2">
        <v>44613.625</v>
      </c>
      <c r="Q112" s="2">
        <v>44613.208333333336</v>
      </c>
      <c r="R112" s="2">
        <v>44613.25</v>
      </c>
      <c r="S112" s="0">
        <v>60</v>
      </c>
      <c r="T112" s="0">
        <v>12</v>
      </c>
      <c r="U112" s="0">
        <v>42</v>
      </c>
      <c r="V112" s="0">
        <v>1186</v>
      </c>
      <c r="W112" s="1">
        <f>=HYPERLINK("10.175.1.14\MWEB.12\SEP\EntityDetails.10.175.1.14.MWEB.12.-k5ouo4k7.js.1186.xlsx", "&lt;Detail&gt;")</f>
      </c>
      <c r="X112" s="1">
        <f>=HYPERLINK("10.175.1.14\MWEB.12\SEP\MetricGraphs.SEP.10.175.1.14.MWEB.12.xlsx", "&lt;Metrics&gt;")</f>
      </c>
      <c r="Y112" s="0" t="s">
        <v>107</v>
      </c>
      <c r="Z112" s="0" t="s">
        <v>108</v>
      </c>
      <c r="AA112" s="0" t="s">
        <v>126</v>
      </c>
      <c r="AB112" s="0" t="s">
        <v>725</v>
      </c>
      <c r="AC112" s="0" t="s">
        <v>109</v>
      </c>
    </row>
    <row r="113">
      <c r="A113" s="0" t="s">
        <v>28</v>
      </c>
      <c r="B113" s="0" t="s">
        <v>30</v>
      </c>
      <c r="C113" s="0" t="s">
        <v>125</v>
      </c>
      <c r="D113" s="0" t="s">
        <v>726</v>
      </c>
      <c r="E113" s="0" t="s">
        <v>229</v>
      </c>
      <c r="F113" s="0">
        <v>0</v>
      </c>
      <c r="G113" s="0" t="s">
        <v>106</v>
      </c>
      <c r="H113" s="0">
        <v>0</v>
      </c>
      <c r="I113" s="0">
        <v>0</v>
      </c>
      <c r="J113" s="0">
        <v>0</v>
      </c>
      <c r="K113" s="0">
        <v>0</v>
      </c>
      <c r="L113" s="0">
        <v>0</v>
      </c>
      <c r="M113" s="0">
        <v>0</v>
      </c>
      <c r="N113" s="0" t="b">
        <v>0</v>
      </c>
      <c r="O113" s="2">
        <v>44613.583333333336</v>
      </c>
      <c r="P113" s="2">
        <v>44613.625</v>
      </c>
      <c r="Q113" s="2">
        <v>44613.208333333336</v>
      </c>
      <c r="R113" s="2">
        <v>44613.25</v>
      </c>
      <c r="S113" s="0">
        <v>60</v>
      </c>
      <c r="T113" s="0">
        <v>12</v>
      </c>
      <c r="U113" s="0">
        <v>42</v>
      </c>
      <c r="V113" s="0">
        <v>1190</v>
      </c>
      <c r="W113" s="1">
        <f>=HYPERLINK("10.175.1.14\MWEB.12\SEP\EntityDetails.10.175.1.14.MWEB.12.-login.jsp.1190.xlsx", "&lt;Detail&gt;")</f>
      </c>
      <c r="X113" s="1">
        <f>=HYPERLINK("10.175.1.14\MWEB.12\SEP\MetricGraphs.SEP.10.175.1.14.MWEB.12.xlsx", "&lt;Metrics&gt;")</f>
      </c>
      <c r="Y113" s="0" t="s">
        <v>107</v>
      </c>
      <c r="Z113" s="0" t="s">
        <v>108</v>
      </c>
      <c r="AA113" s="0" t="s">
        <v>126</v>
      </c>
      <c r="AB113" s="0" t="s">
        <v>727</v>
      </c>
      <c r="AC113" s="0" t="s">
        <v>109</v>
      </c>
    </row>
    <row r="114">
      <c r="A114" s="0" t="s">
        <v>28</v>
      </c>
      <c r="B114" s="0" t="s">
        <v>30</v>
      </c>
      <c r="C114" s="0" t="s">
        <v>127</v>
      </c>
      <c r="D114" s="0" t="s">
        <v>726</v>
      </c>
      <c r="E114" s="0" t="s">
        <v>229</v>
      </c>
      <c r="F114" s="0">
        <v>0</v>
      </c>
      <c r="G114" s="0" t="s">
        <v>106</v>
      </c>
      <c r="H114" s="0">
        <v>0</v>
      </c>
      <c r="I114" s="0">
        <v>0</v>
      </c>
      <c r="J114" s="0">
        <v>0</v>
      </c>
      <c r="K114" s="0">
        <v>0</v>
      </c>
      <c r="L114" s="0">
        <v>0</v>
      </c>
      <c r="M114" s="0">
        <v>0</v>
      </c>
      <c r="N114" s="0" t="b">
        <v>0</v>
      </c>
      <c r="O114" s="2">
        <v>44613.583333333336</v>
      </c>
      <c r="P114" s="2">
        <v>44613.625</v>
      </c>
      <c r="Q114" s="2">
        <v>44613.208333333336</v>
      </c>
      <c r="R114" s="2">
        <v>44613.25</v>
      </c>
      <c r="S114" s="0">
        <v>60</v>
      </c>
      <c r="T114" s="0">
        <v>12</v>
      </c>
      <c r="U114" s="0">
        <v>39</v>
      </c>
      <c r="V114" s="0">
        <v>1205</v>
      </c>
      <c r="W114" s="1">
        <f>=HYPERLINK("10.175.1.14\MWEB.12\SEP\EntityDetails.10.175.1.14.MWEB.12.-login.jsp.1205.xlsx", "&lt;Detail&gt;")</f>
      </c>
      <c r="X114" s="1">
        <f>=HYPERLINK("10.175.1.14\MWEB.12\SEP\MetricGraphs.SEP.10.175.1.14.MWEB.12.xlsx", "&lt;Metrics&gt;")</f>
      </c>
      <c r="Y114" s="0" t="s">
        <v>107</v>
      </c>
      <c r="Z114" s="0" t="s">
        <v>108</v>
      </c>
      <c r="AA114" s="0" t="s">
        <v>128</v>
      </c>
      <c r="AB114" s="0" t="s">
        <v>728</v>
      </c>
      <c r="AC114" s="0" t="s">
        <v>109</v>
      </c>
    </row>
    <row r="115">
      <c r="A115" s="0" t="s">
        <v>28</v>
      </c>
      <c r="B115" s="0" t="s">
        <v>30</v>
      </c>
      <c r="C115" s="0" t="s">
        <v>133</v>
      </c>
      <c r="D115" s="0" t="s">
        <v>726</v>
      </c>
      <c r="E115" s="0" t="s">
        <v>229</v>
      </c>
      <c r="F115" s="0">
        <v>0</v>
      </c>
      <c r="G115" s="0" t="s">
        <v>106</v>
      </c>
      <c r="H115" s="0">
        <v>0</v>
      </c>
      <c r="I115" s="0">
        <v>0</v>
      </c>
      <c r="J115" s="0">
        <v>0</v>
      </c>
      <c r="K115" s="0">
        <v>0</v>
      </c>
      <c r="L115" s="0">
        <v>0</v>
      </c>
      <c r="M115" s="0">
        <v>0</v>
      </c>
      <c r="N115" s="0" t="b">
        <v>0</v>
      </c>
      <c r="O115" s="2">
        <v>44613.583333333336</v>
      </c>
      <c r="P115" s="2">
        <v>44613.625</v>
      </c>
      <c r="Q115" s="2">
        <v>44613.208333333336</v>
      </c>
      <c r="R115" s="2">
        <v>44613.25</v>
      </c>
      <c r="S115" s="0">
        <v>60</v>
      </c>
      <c r="T115" s="0">
        <v>12</v>
      </c>
      <c r="U115" s="0">
        <v>36</v>
      </c>
      <c r="V115" s="0">
        <v>1239</v>
      </c>
      <c r="W115" s="1">
        <f>=HYPERLINK("10.175.1.14\MWEB.12\SEP\EntityDetails.10.175.1.14.MWEB.12.-login.jsp.1239.xlsx", "&lt;Detail&gt;")</f>
      </c>
      <c r="X115" s="1">
        <f>=HYPERLINK("10.175.1.14\MWEB.12\SEP\MetricGraphs.SEP.10.175.1.14.MWEB.12.xlsx", "&lt;Metrics&gt;")</f>
      </c>
      <c r="Y115" s="0" t="s">
        <v>107</v>
      </c>
      <c r="Z115" s="0" t="s">
        <v>108</v>
      </c>
      <c r="AA115" s="0" t="s">
        <v>134</v>
      </c>
      <c r="AB115" s="0" t="s">
        <v>729</v>
      </c>
      <c r="AC115" s="0" t="s">
        <v>109</v>
      </c>
    </row>
    <row r="116">
      <c r="A116" s="0" t="s">
        <v>28</v>
      </c>
      <c r="B116" s="0" t="s">
        <v>30</v>
      </c>
      <c r="C116" s="0" t="s">
        <v>125</v>
      </c>
      <c r="D116" s="0" t="s">
        <v>730</v>
      </c>
      <c r="E116" s="0" t="s">
        <v>229</v>
      </c>
      <c r="F116" s="0">
        <v>0</v>
      </c>
      <c r="G116" s="0" t="s">
        <v>106</v>
      </c>
      <c r="H116" s="0">
        <v>0</v>
      </c>
      <c r="I116" s="0">
        <v>0</v>
      </c>
      <c r="J116" s="0">
        <v>0</v>
      </c>
      <c r="K116" s="0">
        <v>0</v>
      </c>
      <c r="L116" s="0">
        <v>0</v>
      </c>
      <c r="M116" s="0">
        <v>0</v>
      </c>
      <c r="N116" s="0" t="b">
        <v>0</v>
      </c>
      <c r="O116" s="2">
        <v>44613.583333333336</v>
      </c>
      <c r="P116" s="2">
        <v>44613.625</v>
      </c>
      <c r="Q116" s="2">
        <v>44613.208333333336</v>
      </c>
      <c r="R116" s="2">
        <v>44613.25</v>
      </c>
      <c r="S116" s="0">
        <v>60</v>
      </c>
      <c r="T116" s="0">
        <v>12</v>
      </c>
      <c r="U116" s="0">
        <v>42</v>
      </c>
      <c r="V116" s="0">
        <v>1193</v>
      </c>
      <c r="W116" s="1">
        <f>=HYPERLINK("10.175.1.14\MWEB.12\SEP\EntityDetails.10.175.1.14.MWEB.12.-logon.jsp.1193.xlsx", "&lt;Detail&gt;")</f>
      </c>
      <c r="X116" s="1">
        <f>=HYPERLINK("10.175.1.14\MWEB.12\SEP\MetricGraphs.SEP.10.175.1.14.MWEB.12.xlsx", "&lt;Metrics&gt;")</f>
      </c>
      <c r="Y116" s="0" t="s">
        <v>107</v>
      </c>
      <c r="Z116" s="0" t="s">
        <v>108</v>
      </c>
      <c r="AA116" s="0" t="s">
        <v>126</v>
      </c>
      <c r="AB116" s="0" t="s">
        <v>731</v>
      </c>
      <c r="AC116" s="0" t="s">
        <v>109</v>
      </c>
    </row>
    <row r="117">
      <c r="A117" s="0" t="s">
        <v>28</v>
      </c>
      <c r="B117" s="0" t="s">
        <v>30</v>
      </c>
      <c r="C117" s="0" t="s">
        <v>127</v>
      </c>
      <c r="D117" s="0" t="s">
        <v>730</v>
      </c>
      <c r="E117" s="0" t="s">
        <v>229</v>
      </c>
      <c r="F117" s="0">
        <v>0</v>
      </c>
      <c r="G117" s="0" t="s">
        <v>106</v>
      </c>
      <c r="H117" s="0">
        <v>0</v>
      </c>
      <c r="I117" s="0">
        <v>0</v>
      </c>
      <c r="J117" s="0">
        <v>0</v>
      </c>
      <c r="K117" s="0">
        <v>0</v>
      </c>
      <c r="L117" s="0">
        <v>0</v>
      </c>
      <c r="M117" s="0">
        <v>0</v>
      </c>
      <c r="N117" s="0" t="b">
        <v>0</v>
      </c>
      <c r="O117" s="2">
        <v>44613.583333333336</v>
      </c>
      <c r="P117" s="2">
        <v>44613.625</v>
      </c>
      <c r="Q117" s="2">
        <v>44613.208333333336</v>
      </c>
      <c r="R117" s="2">
        <v>44613.25</v>
      </c>
      <c r="S117" s="0">
        <v>60</v>
      </c>
      <c r="T117" s="0">
        <v>12</v>
      </c>
      <c r="U117" s="0">
        <v>39</v>
      </c>
      <c r="V117" s="0">
        <v>1208</v>
      </c>
      <c r="W117" s="1">
        <f>=HYPERLINK("10.175.1.14\MWEB.12\SEP\EntityDetails.10.175.1.14.MWEB.12.-logon.jsp.1208.xlsx", "&lt;Detail&gt;")</f>
      </c>
      <c r="X117" s="1">
        <f>=HYPERLINK("10.175.1.14\MWEB.12\SEP\MetricGraphs.SEP.10.175.1.14.MWEB.12.xlsx", "&lt;Metrics&gt;")</f>
      </c>
      <c r="Y117" s="0" t="s">
        <v>107</v>
      </c>
      <c r="Z117" s="0" t="s">
        <v>108</v>
      </c>
      <c r="AA117" s="0" t="s">
        <v>128</v>
      </c>
      <c r="AB117" s="0" t="s">
        <v>732</v>
      </c>
      <c r="AC117" s="0" t="s">
        <v>109</v>
      </c>
    </row>
    <row r="118">
      <c r="A118" s="0" t="s">
        <v>28</v>
      </c>
      <c r="B118" s="0" t="s">
        <v>30</v>
      </c>
      <c r="C118" s="0" t="s">
        <v>133</v>
      </c>
      <c r="D118" s="0" t="s">
        <v>730</v>
      </c>
      <c r="E118" s="0" t="s">
        <v>229</v>
      </c>
      <c r="F118" s="0">
        <v>0</v>
      </c>
      <c r="G118" s="0" t="s">
        <v>106</v>
      </c>
      <c r="H118" s="0">
        <v>0</v>
      </c>
      <c r="I118" s="0">
        <v>0</v>
      </c>
      <c r="J118" s="0">
        <v>0</v>
      </c>
      <c r="K118" s="0">
        <v>0</v>
      </c>
      <c r="L118" s="0">
        <v>0</v>
      </c>
      <c r="M118" s="0">
        <v>0</v>
      </c>
      <c r="N118" s="0" t="b">
        <v>0</v>
      </c>
      <c r="O118" s="2">
        <v>44613.583333333336</v>
      </c>
      <c r="P118" s="2">
        <v>44613.625</v>
      </c>
      <c r="Q118" s="2">
        <v>44613.208333333336</v>
      </c>
      <c r="R118" s="2">
        <v>44613.25</v>
      </c>
      <c r="S118" s="0">
        <v>60</v>
      </c>
      <c r="T118" s="0">
        <v>12</v>
      </c>
      <c r="U118" s="0">
        <v>36</v>
      </c>
      <c r="V118" s="0">
        <v>1243</v>
      </c>
      <c r="W118" s="1">
        <f>=HYPERLINK("10.175.1.14\MWEB.12\SEP\EntityDetails.10.175.1.14.MWEB.12.-logon.jsp.1243.xlsx", "&lt;Detail&gt;")</f>
      </c>
      <c r="X118" s="1">
        <f>=HYPERLINK("10.175.1.14\MWEB.12\SEP\MetricGraphs.SEP.10.175.1.14.MWEB.12.xlsx", "&lt;Metrics&gt;")</f>
      </c>
      <c r="Y118" s="0" t="s">
        <v>107</v>
      </c>
      <c r="Z118" s="0" t="s">
        <v>108</v>
      </c>
      <c r="AA118" s="0" t="s">
        <v>134</v>
      </c>
      <c r="AB118" s="0" t="s">
        <v>733</v>
      </c>
      <c r="AC118" s="0" t="s">
        <v>109</v>
      </c>
    </row>
    <row r="119">
      <c r="A119" s="0" t="s">
        <v>28</v>
      </c>
      <c r="B119" s="0" t="s">
        <v>30</v>
      </c>
      <c r="C119" s="0" t="s">
        <v>125</v>
      </c>
      <c r="D119" s="0" t="s">
        <v>327</v>
      </c>
      <c r="E119" s="0" t="s">
        <v>229</v>
      </c>
      <c r="F119" s="0">
        <v>0</v>
      </c>
      <c r="G119" s="0" t="s">
        <v>106</v>
      </c>
      <c r="H119" s="0">
        <v>0</v>
      </c>
      <c r="I119" s="0">
        <v>0</v>
      </c>
      <c r="J119" s="0">
        <v>0</v>
      </c>
      <c r="K119" s="0">
        <v>0</v>
      </c>
      <c r="L119" s="0">
        <v>0</v>
      </c>
      <c r="M119" s="0">
        <v>0</v>
      </c>
      <c r="N119" s="0" t="b">
        <v>0</v>
      </c>
      <c r="O119" s="2">
        <v>44613.583333333336</v>
      </c>
      <c r="P119" s="2">
        <v>44613.625</v>
      </c>
      <c r="Q119" s="2">
        <v>44613.208333333336</v>
      </c>
      <c r="R119" s="2">
        <v>44613.25</v>
      </c>
      <c r="S119" s="0">
        <v>60</v>
      </c>
      <c r="T119" s="0">
        <v>12</v>
      </c>
      <c r="U119" s="0">
        <v>42</v>
      </c>
      <c r="V119" s="0">
        <v>148</v>
      </c>
      <c r="W119" s="1">
        <f>=HYPERLINK("10.175.1.14\MWEB.12\SEP\EntityDetails.10.175.1.14.MWEB.12.-management-.148.xlsx", "&lt;Detail&gt;")</f>
      </c>
      <c r="X119" s="1">
        <f>=HYPERLINK("10.175.1.14\MWEB.12\SEP\MetricGraphs.SEP.10.175.1.14.MWEB.12.xlsx", "&lt;Metrics&gt;")</f>
      </c>
      <c r="Y119" s="0" t="s">
        <v>107</v>
      </c>
      <c r="Z119" s="0" t="s">
        <v>108</v>
      </c>
      <c r="AA119" s="0" t="s">
        <v>126</v>
      </c>
      <c r="AB119" s="0" t="s">
        <v>734</v>
      </c>
      <c r="AC119" s="0" t="s">
        <v>109</v>
      </c>
    </row>
    <row r="120">
      <c r="A120" s="0" t="s">
        <v>28</v>
      </c>
      <c r="B120" s="0" t="s">
        <v>30</v>
      </c>
      <c r="C120" s="0" t="s">
        <v>127</v>
      </c>
      <c r="D120" s="0" t="s">
        <v>327</v>
      </c>
      <c r="E120" s="0" t="s">
        <v>229</v>
      </c>
      <c r="F120" s="0">
        <v>0</v>
      </c>
      <c r="G120" s="0" t="s">
        <v>106</v>
      </c>
      <c r="H120" s="0">
        <v>0</v>
      </c>
      <c r="I120" s="0">
        <v>0</v>
      </c>
      <c r="J120" s="0">
        <v>0</v>
      </c>
      <c r="K120" s="0">
        <v>0</v>
      </c>
      <c r="L120" s="0">
        <v>0</v>
      </c>
      <c r="M120" s="0">
        <v>0</v>
      </c>
      <c r="N120" s="0" t="b">
        <v>0</v>
      </c>
      <c r="O120" s="2">
        <v>44613.583333333336</v>
      </c>
      <c r="P120" s="2">
        <v>44613.625</v>
      </c>
      <c r="Q120" s="2">
        <v>44613.208333333336</v>
      </c>
      <c r="R120" s="2">
        <v>44613.25</v>
      </c>
      <c r="S120" s="0">
        <v>60</v>
      </c>
      <c r="T120" s="0">
        <v>12</v>
      </c>
      <c r="U120" s="0">
        <v>39</v>
      </c>
      <c r="V120" s="0">
        <v>102</v>
      </c>
      <c r="W120" s="1">
        <f>=HYPERLINK("10.175.1.14\MWEB.12\SEP\EntityDetails.10.175.1.14.MWEB.12.-management-.102.xlsx", "&lt;Detail&gt;")</f>
      </c>
      <c r="X120" s="1">
        <f>=HYPERLINK("10.175.1.14\MWEB.12\SEP\MetricGraphs.SEP.10.175.1.14.MWEB.12.xlsx", "&lt;Metrics&gt;")</f>
      </c>
      <c r="Y120" s="0" t="s">
        <v>107</v>
      </c>
      <c r="Z120" s="0" t="s">
        <v>108</v>
      </c>
      <c r="AA120" s="0" t="s">
        <v>128</v>
      </c>
      <c r="AB120" s="0" t="s">
        <v>735</v>
      </c>
      <c r="AC120" s="0" t="s">
        <v>109</v>
      </c>
    </row>
    <row r="121">
      <c r="A121" s="0" t="s">
        <v>28</v>
      </c>
      <c r="B121" s="0" t="s">
        <v>30</v>
      </c>
      <c r="C121" s="0" t="s">
        <v>129</v>
      </c>
      <c r="D121" s="0" t="s">
        <v>327</v>
      </c>
      <c r="E121" s="0" t="s">
        <v>229</v>
      </c>
      <c r="F121" s="0">
        <v>0</v>
      </c>
      <c r="G121" s="0" t="s">
        <v>106</v>
      </c>
      <c r="H121" s="0">
        <v>0</v>
      </c>
      <c r="I121" s="0">
        <v>0</v>
      </c>
      <c r="J121" s="0">
        <v>0</v>
      </c>
      <c r="K121" s="0">
        <v>0</v>
      </c>
      <c r="L121" s="0">
        <v>0</v>
      </c>
      <c r="M121" s="0">
        <v>0</v>
      </c>
      <c r="N121" s="0" t="b">
        <v>0</v>
      </c>
      <c r="O121" s="2">
        <v>44613.583333333336</v>
      </c>
      <c r="P121" s="2">
        <v>44613.625</v>
      </c>
      <c r="Q121" s="2">
        <v>44613.208333333336</v>
      </c>
      <c r="R121" s="2">
        <v>44613.25</v>
      </c>
      <c r="S121" s="0">
        <v>60</v>
      </c>
      <c r="T121" s="0">
        <v>12</v>
      </c>
      <c r="U121" s="0">
        <v>41</v>
      </c>
      <c r="V121" s="0">
        <v>351</v>
      </c>
      <c r="W121" s="1">
        <f>=HYPERLINK("10.175.1.14\MWEB.12\SEP\EntityDetails.10.175.1.14.MWEB.12.-management-.351.xlsx", "&lt;Detail&gt;")</f>
      </c>
      <c r="X121" s="1">
        <f>=HYPERLINK("10.175.1.14\MWEB.12\SEP\MetricGraphs.SEP.10.175.1.14.MWEB.12.xlsx", "&lt;Metrics&gt;")</f>
      </c>
      <c r="Y121" s="0" t="s">
        <v>107</v>
      </c>
      <c r="Z121" s="0" t="s">
        <v>108</v>
      </c>
      <c r="AA121" s="0" t="s">
        <v>130</v>
      </c>
      <c r="AB121" s="0" t="s">
        <v>736</v>
      </c>
      <c r="AC121" s="0" t="s">
        <v>109</v>
      </c>
    </row>
    <row r="122">
      <c r="A122" s="0" t="s">
        <v>28</v>
      </c>
      <c r="B122" s="0" t="s">
        <v>30</v>
      </c>
      <c r="C122" s="0" t="s">
        <v>131</v>
      </c>
      <c r="D122" s="0" t="s">
        <v>327</v>
      </c>
      <c r="E122" s="0" t="s">
        <v>229</v>
      </c>
      <c r="F122" s="0">
        <v>0</v>
      </c>
      <c r="G122" s="0" t="s">
        <v>106</v>
      </c>
      <c r="H122" s="0">
        <v>0</v>
      </c>
      <c r="I122" s="0">
        <v>0</v>
      </c>
      <c r="J122" s="0">
        <v>0</v>
      </c>
      <c r="K122" s="0">
        <v>0</v>
      </c>
      <c r="L122" s="0">
        <v>0</v>
      </c>
      <c r="M122" s="0">
        <v>0</v>
      </c>
      <c r="N122" s="0" t="b">
        <v>0</v>
      </c>
      <c r="O122" s="2">
        <v>44613.583333333336</v>
      </c>
      <c r="P122" s="2">
        <v>44613.625</v>
      </c>
      <c r="Q122" s="2">
        <v>44613.208333333336</v>
      </c>
      <c r="R122" s="2">
        <v>44613.25</v>
      </c>
      <c r="S122" s="0">
        <v>60</v>
      </c>
      <c r="T122" s="0">
        <v>12</v>
      </c>
      <c r="U122" s="0">
        <v>40</v>
      </c>
      <c r="V122" s="0">
        <v>356</v>
      </c>
      <c r="W122" s="1">
        <f>=HYPERLINK("10.175.1.14\MWEB.12\SEP\EntityDetails.10.175.1.14.MWEB.12.-management-.356.xlsx", "&lt;Detail&gt;")</f>
      </c>
      <c r="X122" s="1">
        <f>=HYPERLINK("10.175.1.14\MWEB.12\SEP\MetricGraphs.SEP.10.175.1.14.MWEB.12.xlsx", "&lt;Metrics&gt;")</f>
      </c>
      <c r="Y122" s="0" t="s">
        <v>107</v>
      </c>
      <c r="Z122" s="0" t="s">
        <v>108</v>
      </c>
      <c r="AA122" s="0" t="s">
        <v>132</v>
      </c>
      <c r="AB122" s="0" t="s">
        <v>737</v>
      </c>
      <c r="AC122" s="0" t="s">
        <v>109</v>
      </c>
    </row>
    <row r="123">
      <c r="A123" s="0" t="s">
        <v>28</v>
      </c>
      <c r="B123" s="0" t="s">
        <v>30</v>
      </c>
      <c r="C123" s="0" t="s">
        <v>133</v>
      </c>
      <c r="D123" s="0" t="s">
        <v>327</v>
      </c>
      <c r="E123" s="0" t="s">
        <v>229</v>
      </c>
      <c r="F123" s="0">
        <v>0</v>
      </c>
      <c r="G123" s="0" t="s">
        <v>106</v>
      </c>
      <c r="H123" s="0">
        <v>0</v>
      </c>
      <c r="I123" s="0">
        <v>0</v>
      </c>
      <c r="J123" s="0">
        <v>0</v>
      </c>
      <c r="K123" s="0">
        <v>0</v>
      </c>
      <c r="L123" s="0">
        <v>0</v>
      </c>
      <c r="M123" s="0">
        <v>0</v>
      </c>
      <c r="N123" s="0" t="b">
        <v>0</v>
      </c>
      <c r="O123" s="2">
        <v>44613.583333333336</v>
      </c>
      <c r="P123" s="2">
        <v>44613.625</v>
      </c>
      <c r="Q123" s="2">
        <v>44613.208333333336</v>
      </c>
      <c r="R123" s="2">
        <v>44613.25</v>
      </c>
      <c r="S123" s="0">
        <v>60</v>
      </c>
      <c r="T123" s="0">
        <v>12</v>
      </c>
      <c r="U123" s="0">
        <v>36</v>
      </c>
      <c r="V123" s="0">
        <v>153</v>
      </c>
      <c r="W123" s="1">
        <f>=HYPERLINK("10.175.1.14\MWEB.12\SEP\EntityDetails.10.175.1.14.MWEB.12.-management-.153.xlsx", "&lt;Detail&gt;")</f>
      </c>
      <c r="X123" s="1">
        <f>=HYPERLINK("10.175.1.14\MWEB.12\SEP\MetricGraphs.SEP.10.175.1.14.MWEB.12.xlsx", "&lt;Metrics&gt;")</f>
      </c>
      <c r="Y123" s="0" t="s">
        <v>107</v>
      </c>
      <c r="Z123" s="0" t="s">
        <v>108</v>
      </c>
      <c r="AA123" s="0" t="s">
        <v>134</v>
      </c>
      <c r="AB123" s="0" t="s">
        <v>738</v>
      </c>
      <c r="AC123" s="0" t="s">
        <v>109</v>
      </c>
    </row>
    <row r="124">
      <c r="A124" s="0" t="s">
        <v>28</v>
      </c>
      <c r="B124" s="0" t="s">
        <v>30</v>
      </c>
      <c r="C124" s="0" t="s">
        <v>135</v>
      </c>
      <c r="D124" s="0" t="s">
        <v>327</v>
      </c>
      <c r="E124" s="0" t="s">
        <v>229</v>
      </c>
      <c r="F124" s="0">
        <v>0</v>
      </c>
      <c r="G124" s="0" t="s">
        <v>106</v>
      </c>
      <c r="H124" s="0">
        <v>0</v>
      </c>
      <c r="I124" s="0">
        <v>0</v>
      </c>
      <c r="J124" s="0">
        <v>0</v>
      </c>
      <c r="K124" s="0">
        <v>0</v>
      </c>
      <c r="L124" s="0">
        <v>0</v>
      </c>
      <c r="M124" s="0">
        <v>0</v>
      </c>
      <c r="N124" s="0" t="b">
        <v>0</v>
      </c>
      <c r="O124" s="2">
        <v>44613.583333333336</v>
      </c>
      <c r="P124" s="2">
        <v>44613.625</v>
      </c>
      <c r="Q124" s="2">
        <v>44613.208333333336</v>
      </c>
      <c r="R124" s="2">
        <v>44613.25</v>
      </c>
      <c r="S124" s="0">
        <v>60</v>
      </c>
      <c r="T124" s="0">
        <v>12</v>
      </c>
      <c r="U124" s="0">
        <v>37</v>
      </c>
      <c r="V124" s="0">
        <v>275</v>
      </c>
      <c r="W124" s="1">
        <f>=HYPERLINK("10.175.1.14\MWEB.12\SEP\EntityDetails.10.175.1.14.MWEB.12.-management-.275.xlsx", "&lt;Detail&gt;")</f>
      </c>
      <c r="X124" s="1">
        <f>=HYPERLINK("10.175.1.14\MWEB.12\SEP\MetricGraphs.SEP.10.175.1.14.MWEB.12.xlsx", "&lt;Metrics&gt;")</f>
      </c>
      <c r="Y124" s="0" t="s">
        <v>107</v>
      </c>
      <c r="Z124" s="0" t="s">
        <v>108</v>
      </c>
      <c r="AA124" s="0" t="s">
        <v>136</v>
      </c>
      <c r="AB124" s="0" t="s">
        <v>739</v>
      </c>
      <c r="AC124" s="0" t="s">
        <v>109</v>
      </c>
    </row>
    <row r="125">
      <c r="A125" s="0" t="s">
        <v>28</v>
      </c>
      <c r="B125" s="0" t="s">
        <v>30</v>
      </c>
      <c r="C125" s="0" t="s">
        <v>137</v>
      </c>
      <c r="D125" s="0" t="s">
        <v>327</v>
      </c>
      <c r="E125" s="0" t="s">
        <v>229</v>
      </c>
      <c r="F125" s="0">
        <v>0</v>
      </c>
      <c r="G125" s="0" t="s">
        <v>106</v>
      </c>
      <c r="H125" s="0">
        <v>0</v>
      </c>
      <c r="I125" s="0">
        <v>0</v>
      </c>
      <c r="J125" s="0">
        <v>0</v>
      </c>
      <c r="K125" s="0">
        <v>0</v>
      </c>
      <c r="L125" s="0">
        <v>0</v>
      </c>
      <c r="M125" s="0">
        <v>0</v>
      </c>
      <c r="N125" s="0" t="b">
        <v>0</v>
      </c>
      <c r="O125" s="2">
        <v>44613.583333333336</v>
      </c>
      <c r="P125" s="2">
        <v>44613.625</v>
      </c>
      <c r="Q125" s="2">
        <v>44613.208333333336</v>
      </c>
      <c r="R125" s="2">
        <v>44613.25</v>
      </c>
      <c r="S125" s="0">
        <v>60</v>
      </c>
      <c r="T125" s="0">
        <v>12</v>
      </c>
      <c r="U125" s="0">
        <v>38</v>
      </c>
      <c r="V125" s="0">
        <v>277</v>
      </c>
      <c r="W125" s="1">
        <f>=HYPERLINK("10.175.1.14\MWEB.12\SEP\EntityDetails.10.175.1.14.MWEB.12.-management-.277.xlsx", "&lt;Detail&gt;")</f>
      </c>
      <c r="X125" s="1">
        <f>=HYPERLINK("10.175.1.14\MWEB.12\SEP\MetricGraphs.SEP.10.175.1.14.MWEB.12.xlsx", "&lt;Metrics&gt;")</f>
      </c>
      <c r="Y125" s="0" t="s">
        <v>107</v>
      </c>
      <c r="Z125" s="0" t="s">
        <v>108</v>
      </c>
      <c r="AA125" s="0" t="s">
        <v>138</v>
      </c>
      <c r="AB125" s="0" t="s">
        <v>740</v>
      </c>
      <c r="AC125" s="0" t="s">
        <v>109</v>
      </c>
    </row>
    <row r="126">
      <c r="A126" s="0" t="s">
        <v>28</v>
      </c>
      <c r="B126" s="0" t="s">
        <v>30</v>
      </c>
      <c r="C126" s="0" t="s">
        <v>143</v>
      </c>
      <c r="D126" s="0" t="s">
        <v>327</v>
      </c>
      <c r="E126" s="0" t="s">
        <v>229</v>
      </c>
      <c r="F126" s="0">
        <v>0</v>
      </c>
      <c r="G126" s="0" t="s">
        <v>106</v>
      </c>
      <c r="H126" s="0">
        <v>0</v>
      </c>
      <c r="I126" s="0">
        <v>0</v>
      </c>
      <c r="J126" s="0">
        <v>0</v>
      </c>
      <c r="K126" s="0">
        <v>0</v>
      </c>
      <c r="L126" s="0">
        <v>0</v>
      </c>
      <c r="M126" s="0">
        <v>0</v>
      </c>
      <c r="N126" s="0" t="b">
        <v>0</v>
      </c>
      <c r="O126" s="2">
        <v>44613.583333333336</v>
      </c>
      <c r="P126" s="2">
        <v>44613.625</v>
      </c>
      <c r="Q126" s="2">
        <v>44613.208333333336</v>
      </c>
      <c r="R126" s="2">
        <v>44613.25</v>
      </c>
      <c r="S126" s="0">
        <v>60</v>
      </c>
      <c r="T126" s="0">
        <v>12</v>
      </c>
      <c r="U126" s="0">
        <v>43</v>
      </c>
      <c r="V126" s="0">
        <v>1884</v>
      </c>
      <c r="W126" s="1">
        <f>=HYPERLINK("10.175.1.14\MWEB.12\SEP\EntityDetails.10.175.1.14.MWEB.12.-management-.1884.xlsx", "&lt;Detail&gt;")</f>
      </c>
      <c r="X126" s="1">
        <f>=HYPERLINK("10.175.1.14\MWEB.12\SEP\MetricGraphs.SEP.10.175.1.14.MWEB.12.xlsx", "&lt;Metrics&gt;")</f>
      </c>
      <c r="Y126" s="0" t="s">
        <v>107</v>
      </c>
      <c r="Z126" s="0" t="s">
        <v>108</v>
      </c>
      <c r="AA126" s="0" t="s">
        <v>144</v>
      </c>
      <c r="AB126" s="0" t="s">
        <v>741</v>
      </c>
      <c r="AC126" s="0" t="s">
        <v>109</v>
      </c>
    </row>
    <row r="127">
      <c r="A127" s="0" t="s">
        <v>28</v>
      </c>
      <c r="B127" s="0" t="s">
        <v>30</v>
      </c>
      <c r="C127" s="0" t="s">
        <v>147</v>
      </c>
      <c r="D127" s="0" t="s">
        <v>327</v>
      </c>
      <c r="E127" s="0" t="s">
        <v>229</v>
      </c>
      <c r="F127" s="0">
        <v>0</v>
      </c>
      <c r="G127" s="0" t="s">
        <v>106</v>
      </c>
      <c r="H127" s="0">
        <v>0</v>
      </c>
      <c r="I127" s="0">
        <v>0</v>
      </c>
      <c r="J127" s="0">
        <v>0</v>
      </c>
      <c r="K127" s="0">
        <v>0</v>
      </c>
      <c r="L127" s="0">
        <v>0</v>
      </c>
      <c r="M127" s="0">
        <v>0</v>
      </c>
      <c r="N127" s="0" t="b">
        <v>0</v>
      </c>
      <c r="O127" s="2">
        <v>44613.583333333336</v>
      </c>
      <c r="P127" s="2">
        <v>44613.625</v>
      </c>
      <c r="Q127" s="2">
        <v>44613.208333333336</v>
      </c>
      <c r="R127" s="2">
        <v>44613.25</v>
      </c>
      <c r="S127" s="0">
        <v>60</v>
      </c>
      <c r="T127" s="0">
        <v>12</v>
      </c>
      <c r="U127" s="0">
        <v>49</v>
      </c>
      <c r="V127" s="0">
        <v>2057</v>
      </c>
      <c r="W127" s="1">
        <f>=HYPERLINK("10.175.1.14\MWEB.12\SEP\EntityDetails.10.175.1.14.MWEB.12.-management-.2057.xlsx", "&lt;Detail&gt;")</f>
      </c>
      <c r="X127" s="1">
        <f>=HYPERLINK("10.175.1.14\MWEB.12\SEP\MetricGraphs.SEP.10.175.1.14.MWEB.12.xlsx", "&lt;Metrics&gt;")</f>
      </c>
      <c r="Y127" s="0" t="s">
        <v>107</v>
      </c>
      <c r="Z127" s="0" t="s">
        <v>108</v>
      </c>
      <c r="AA127" s="0" t="s">
        <v>148</v>
      </c>
      <c r="AB127" s="0" t="s">
        <v>742</v>
      </c>
      <c r="AC127" s="0" t="s">
        <v>109</v>
      </c>
    </row>
    <row r="128">
      <c r="A128" s="0" t="s">
        <v>28</v>
      </c>
      <c r="B128" s="0" t="s">
        <v>30</v>
      </c>
      <c r="C128" s="0" t="s">
        <v>157</v>
      </c>
      <c r="D128" s="0" t="s">
        <v>327</v>
      </c>
      <c r="E128" s="0" t="s">
        <v>229</v>
      </c>
      <c r="F128" s="0">
        <v>0</v>
      </c>
      <c r="G128" s="0" t="s">
        <v>106</v>
      </c>
      <c r="H128" s="0">
        <v>0</v>
      </c>
      <c r="I128" s="0">
        <v>0</v>
      </c>
      <c r="J128" s="0">
        <v>0</v>
      </c>
      <c r="K128" s="0">
        <v>0</v>
      </c>
      <c r="L128" s="0">
        <v>0</v>
      </c>
      <c r="M128" s="0">
        <v>0</v>
      </c>
      <c r="N128" s="0" t="b">
        <v>0</v>
      </c>
      <c r="O128" s="2">
        <v>44613.583333333336</v>
      </c>
      <c r="P128" s="2">
        <v>44613.625</v>
      </c>
      <c r="Q128" s="2">
        <v>44613.208333333336</v>
      </c>
      <c r="R128" s="2">
        <v>44613.25</v>
      </c>
      <c r="S128" s="0">
        <v>60</v>
      </c>
      <c r="T128" s="0">
        <v>12</v>
      </c>
      <c r="U128" s="0">
        <v>53</v>
      </c>
      <c r="V128" s="0">
        <v>2241</v>
      </c>
      <c r="W128" s="1">
        <f>=HYPERLINK("10.175.1.14\MWEB.12\SEP\EntityDetails.10.175.1.14.MWEB.12.-management-.2241.xlsx", "&lt;Detail&gt;")</f>
      </c>
      <c r="X128" s="1">
        <f>=HYPERLINK("10.175.1.14\MWEB.12\SEP\MetricGraphs.SEP.10.175.1.14.MWEB.12.xlsx", "&lt;Metrics&gt;")</f>
      </c>
      <c r="Y128" s="0" t="s">
        <v>107</v>
      </c>
      <c r="Z128" s="0" t="s">
        <v>108</v>
      </c>
      <c r="AA128" s="0" t="s">
        <v>158</v>
      </c>
      <c r="AB128" s="0" t="s">
        <v>743</v>
      </c>
      <c r="AC128" s="0" t="s">
        <v>109</v>
      </c>
    </row>
    <row r="129">
      <c r="A129" s="0" t="s">
        <v>28</v>
      </c>
      <c r="B129" s="0" t="s">
        <v>30</v>
      </c>
      <c r="C129" s="0" t="s">
        <v>163</v>
      </c>
      <c r="D129" s="0" t="s">
        <v>327</v>
      </c>
      <c r="E129" s="0" t="s">
        <v>229</v>
      </c>
      <c r="F129" s="0">
        <v>0</v>
      </c>
      <c r="G129" s="0" t="s">
        <v>106</v>
      </c>
      <c r="H129" s="0">
        <v>0</v>
      </c>
      <c r="I129" s="0">
        <v>0</v>
      </c>
      <c r="J129" s="0">
        <v>0</v>
      </c>
      <c r="K129" s="0">
        <v>0</v>
      </c>
      <c r="L129" s="0">
        <v>0</v>
      </c>
      <c r="M129" s="0">
        <v>0</v>
      </c>
      <c r="N129" s="0" t="b">
        <v>0</v>
      </c>
      <c r="O129" s="2">
        <v>44613.583333333336</v>
      </c>
      <c r="P129" s="2">
        <v>44613.625</v>
      </c>
      <c r="Q129" s="2">
        <v>44613.208333333336</v>
      </c>
      <c r="R129" s="2">
        <v>44613.25</v>
      </c>
      <c r="S129" s="0">
        <v>60</v>
      </c>
      <c r="T129" s="0">
        <v>12</v>
      </c>
      <c r="U129" s="0">
        <v>55</v>
      </c>
      <c r="V129" s="0">
        <v>3176</v>
      </c>
      <c r="W129" s="1">
        <f>=HYPERLINK("10.175.1.14\MWEB.12\SEP\EntityDetails.10.175.1.14.MWEB.12.-management-.3176.xlsx", "&lt;Detail&gt;")</f>
      </c>
      <c r="X129" s="1">
        <f>=HYPERLINK("10.175.1.14\MWEB.12\SEP\MetricGraphs.SEP.10.175.1.14.MWEB.12.xlsx", "&lt;Metrics&gt;")</f>
      </c>
      <c r="Y129" s="0" t="s">
        <v>107</v>
      </c>
      <c r="Z129" s="0" t="s">
        <v>108</v>
      </c>
      <c r="AA129" s="0" t="s">
        <v>164</v>
      </c>
      <c r="AB129" s="0" t="s">
        <v>744</v>
      </c>
      <c r="AC129" s="0" t="s">
        <v>109</v>
      </c>
    </row>
    <row r="130">
      <c r="A130" s="0" t="s">
        <v>28</v>
      </c>
      <c r="B130" s="0" t="s">
        <v>30</v>
      </c>
      <c r="C130" s="0" t="s">
        <v>133</v>
      </c>
      <c r="D130" s="0" t="s">
        <v>335</v>
      </c>
      <c r="E130" s="0" t="s">
        <v>229</v>
      </c>
      <c r="F130" s="0">
        <v>0</v>
      </c>
      <c r="G130" s="0" t="s">
        <v>106</v>
      </c>
      <c r="H130" s="0">
        <v>0</v>
      </c>
      <c r="I130" s="0">
        <v>0</v>
      </c>
      <c r="J130" s="0">
        <v>0</v>
      </c>
      <c r="K130" s="0">
        <v>0</v>
      </c>
      <c r="L130" s="0">
        <v>0</v>
      </c>
      <c r="M130" s="0">
        <v>0</v>
      </c>
      <c r="N130" s="0" t="b">
        <v>0</v>
      </c>
      <c r="O130" s="2">
        <v>44613.583333333336</v>
      </c>
      <c r="P130" s="2">
        <v>44613.625</v>
      </c>
      <c r="Q130" s="2">
        <v>44613.208333333336</v>
      </c>
      <c r="R130" s="2">
        <v>44613.25</v>
      </c>
      <c r="S130" s="0">
        <v>60</v>
      </c>
      <c r="T130" s="0">
        <v>12</v>
      </c>
      <c r="U130" s="0">
        <v>36</v>
      </c>
      <c r="V130" s="0">
        <v>206</v>
      </c>
      <c r="W130" s="1">
        <f>=HYPERLINK("10.175.1.14\MWEB.12\SEP\EntityDetails.10.175.1.14.MWEB.12.-master-mana.206.xlsx", "&lt;Detail&gt;")</f>
      </c>
      <c r="X130" s="1">
        <f>=HYPERLINK("10.175.1.14\MWEB.12\SEP\MetricGraphs.SEP.10.175.1.14.MWEB.12.xlsx", "&lt;Metrics&gt;")</f>
      </c>
      <c r="Y130" s="0" t="s">
        <v>107</v>
      </c>
      <c r="Z130" s="0" t="s">
        <v>108</v>
      </c>
      <c r="AA130" s="0" t="s">
        <v>134</v>
      </c>
      <c r="AB130" s="0" t="s">
        <v>745</v>
      </c>
      <c r="AC130" s="0" t="s">
        <v>109</v>
      </c>
    </row>
    <row r="131">
      <c r="A131" s="0" t="s">
        <v>28</v>
      </c>
      <c r="B131" s="0" t="s">
        <v>30</v>
      </c>
      <c r="C131" s="0" t="s">
        <v>157</v>
      </c>
      <c r="D131" s="0" t="s">
        <v>335</v>
      </c>
      <c r="E131" s="0" t="s">
        <v>229</v>
      </c>
      <c r="F131" s="0">
        <v>0</v>
      </c>
      <c r="G131" s="0" t="s">
        <v>106</v>
      </c>
      <c r="H131" s="0">
        <v>0</v>
      </c>
      <c r="I131" s="0">
        <v>0</v>
      </c>
      <c r="J131" s="0">
        <v>0</v>
      </c>
      <c r="K131" s="0">
        <v>0</v>
      </c>
      <c r="L131" s="0">
        <v>0</v>
      </c>
      <c r="M131" s="0">
        <v>0</v>
      </c>
      <c r="N131" s="0" t="b">
        <v>0</v>
      </c>
      <c r="O131" s="2">
        <v>44613.583333333336</v>
      </c>
      <c r="P131" s="2">
        <v>44613.625</v>
      </c>
      <c r="Q131" s="2">
        <v>44613.208333333336</v>
      </c>
      <c r="R131" s="2">
        <v>44613.25</v>
      </c>
      <c r="S131" s="0">
        <v>60</v>
      </c>
      <c r="T131" s="0">
        <v>12</v>
      </c>
      <c r="U131" s="0">
        <v>53</v>
      </c>
      <c r="V131" s="0">
        <v>2250</v>
      </c>
      <c r="W131" s="1">
        <f>=HYPERLINK("10.175.1.14\MWEB.12\SEP\EntityDetails.10.175.1.14.MWEB.12.-master-mana.2250.xlsx", "&lt;Detail&gt;")</f>
      </c>
      <c r="X131" s="1">
        <f>=HYPERLINK("10.175.1.14\MWEB.12\SEP\MetricGraphs.SEP.10.175.1.14.MWEB.12.xlsx", "&lt;Metrics&gt;")</f>
      </c>
      <c r="Y131" s="0" t="s">
        <v>107</v>
      </c>
      <c r="Z131" s="0" t="s">
        <v>108</v>
      </c>
      <c r="AA131" s="0" t="s">
        <v>158</v>
      </c>
      <c r="AB131" s="0" t="s">
        <v>746</v>
      </c>
      <c r="AC131" s="0" t="s">
        <v>109</v>
      </c>
    </row>
    <row r="132">
      <c r="A132" s="0" t="s">
        <v>28</v>
      </c>
      <c r="B132" s="0" t="s">
        <v>30</v>
      </c>
      <c r="C132" s="0" t="s">
        <v>133</v>
      </c>
      <c r="D132" s="0" t="s">
        <v>747</v>
      </c>
      <c r="E132" s="0" t="s">
        <v>229</v>
      </c>
      <c r="F132" s="0">
        <v>0</v>
      </c>
      <c r="G132" s="0" t="s">
        <v>106</v>
      </c>
      <c r="H132" s="0">
        <v>0</v>
      </c>
      <c r="I132" s="0">
        <v>0</v>
      </c>
      <c r="J132" s="0">
        <v>0</v>
      </c>
      <c r="K132" s="0">
        <v>0</v>
      </c>
      <c r="L132" s="0">
        <v>0</v>
      </c>
      <c r="M132" s="0">
        <v>0</v>
      </c>
      <c r="N132" s="0" t="b">
        <v>0</v>
      </c>
      <c r="O132" s="2">
        <v>44613.583333333336</v>
      </c>
      <c r="P132" s="2">
        <v>44613.625</v>
      </c>
      <c r="Q132" s="2">
        <v>44613.208333333336</v>
      </c>
      <c r="R132" s="2">
        <v>44613.25</v>
      </c>
      <c r="S132" s="0">
        <v>60</v>
      </c>
      <c r="T132" s="0">
        <v>12</v>
      </c>
      <c r="U132" s="0">
        <v>36</v>
      </c>
      <c r="V132" s="0">
        <v>205</v>
      </c>
      <c r="W132" s="1">
        <f>=HYPERLINK("10.175.1.14\MWEB.12\SEP\EntityDetails.10.175.1.14.MWEB.12.-master-WEB-.205.xlsx", "&lt;Detail&gt;")</f>
      </c>
      <c r="X132" s="1">
        <f>=HYPERLINK("10.175.1.14\MWEB.12\SEP\MetricGraphs.SEP.10.175.1.14.MWEB.12.xlsx", "&lt;Metrics&gt;")</f>
      </c>
      <c r="Y132" s="0" t="s">
        <v>107</v>
      </c>
      <c r="Z132" s="0" t="s">
        <v>108</v>
      </c>
      <c r="AA132" s="0" t="s">
        <v>134</v>
      </c>
      <c r="AB132" s="0" t="s">
        <v>748</v>
      </c>
      <c r="AC132" s="0" t="s">
        <v>109</v>
      </c>
    </row>
    <row r="133">
      <c r="A133" s="0" t="s">
        <v>28</v>
      </c>
      <c r="B133" s="0" t="s">
        <v>30</v>
      </c>
      <c r="C133" s="0" t="s">
        <v>157</v>
      </c>
      <c r="D133" s="0" t="s">
        <v>747</v>
      </c>
      <c r="E133" s="0" t="s">
        <v>229</v>
      </c>
      <c r="F133" s="0">
        <v>0</v>
      </c>
      <c r="G133" s="0" t="s">
        <v>106</v>
      </c>
      <c r="H133" s="0">
        <v>0</v>
      </c>
      <c r="I133" s="0">
        <v>0</v>
      </c>
      <c r="J133" s="0">
        <v>0</v>
      </c>
      <c r="K133" s="0">
        <v>0</v>
      </c>
      <c r="L133" s="0">
        <v>0</v>
      </c>
      <c r="M133" s="0">
        <v>0</v>
      </c>
      <c r="N133" s="0" t="b">
        <v>0</v>
      </c>
      <c r="O133" s="2">
        <v>44613.583333333336</v>
      </c>
      <c r="P133" s="2">
        <v>44613.625</v>
      </c>
      <c r="Q133" s="2">
        <v>44613.208333333336</v>
      </c>
      <c r="R133" s="2">
        <v>44613.25</v>
      </c>
      <c r="S133" s="0">
        <v>60</v>
      </c>
      <c r="T133" s="0">
        <v>12</v>
      </c>
      <c r="U133" s="0">
        <v>53</v>
      </c>
      <c r="V133" s="0">
        <v>2249</v>
      </c>
      <c r="W133" s="1">
        <f>=HYPERLINK("10.175.1.14\MWEB.12\SEP\EntityDetails.10.175.1.14.MWEB.12.-master-WEB-.2249.xlsx", "&lt;Detail&gt;")</f>
      </c>
      <c r="X133" s="1">
        <f>=HYPERLINK("10.175.1.14\MWEB.12\SEP\MetricGraphs.SEP.10.175.1.14.MWEB.12.xlsx", "&lt;Metrics&gt;")</f>
      </c>
      <c r="Y133" s="0" t="s">
        <v>107</v>
      </c>
      <c r="Z133" s="0" t="s">
        <v>108</v>
      </c>
      <c r="AA133" s="0" t="s">
        <v>158</v>
      </c>
      <c r="AB133" s="0" t="s">
        <v>749</v>
      </c>
      <c r="AC133" s="0" t="s">
        <v>109</v>
      </c>
    </row>
    <row r="134">
      <c r="A134" s="0" t="s">
        <v>28</v>
      </c>
      <c r="B134" s="0" t="s">
        <v>30</v>
      </c>
      <c r="C134" s="0" t="s">
        <v>149</v>
      </c>
      <c r="D134" s="0" t="s">
        <v>337</v>
      </c>
      <c r="E134" s="0" t="s">
        <v>229</v>
      </c>
      <c r="F134" s="0">
        <v>0</v>
      </c>
      <c r="G134" s="0" t="s">
        <v>106</v>
      </c>
      <c r="H134" s="0">
        <v>0</v>
      </c>
      <c r="I134" s="0">
        <v>0</v>
      </c>
      <c r="J134" s="0">
        <v>0</v>
      </c>
      <c r="K134" s="0">
        <v>0</v>
      </c>
      <c r="L134" s="0">
        <v>0</v>
      </c>
      <c r="M134" s="0">
        <v>0</v>
      </c>
      <c r="N134" s="0" t="b">
        <v>0</v>
      </c>
      <c r="O134" s="2">
        <v>44613.583333333336</v>
      </c>
      <c r="P134" s="2">
        <v>44613.625</v>
      </c>
      <c r="Q134" s="2">
        <v>44613.208333333336</v>
      </c>
      <c r="R134" s="2">
        <v>44613.25</v>
      </c>
      <c r="S134" s="0">
        <v>60</v>
      </c>
      <c r="T134" s="0">
        <v>12</v>
      </c>
      <c r="U134" s="0">
        <v>50</v>
      </c>
      <c r="V134" s="0">
        <v>2522</v>
      </c>
      <c r="W134" s="1">
        <f>=HYPERLINK("10.175.1.14\MWEB.12\SEP\EntityDetails.10.175.1.14.MWEB.12.-modules-.2522.xlsx", "&lt;Detail&gt;")</f>
      </c>
      <c r="X134" s="1">
        <f>=HYPERLINK("10.175.1.14\MWEB.12\SEP\MetricGraphs.SEP.10.175.1.14.MWEB.12.xlsx", "&lt;Metrics&gt;")</f>
      </c>
      <c r="Y134" s="0" t="s">
        <v>107</v>
      </c>
      <c r="Z134" s="0" t="s">
        <v>108</v>
      </c>
      <c r="AA134" s="0" t="s">
        <v>150</v>
      </c>
      <c r="AB134" s="0" t="s">
        <v>750</v>
      </c>
      <c r="AC134" s="0" t="s">
        <v>109</v>
      </c>
    </row>
    <row r="135">
      <c r="A135" s="0" t="s">
        <v>28</v>
      </c>
      <c r="B135" s="0" t="s">
        <v>30</v>
      </c>
      <c r="C135" s="0" t="s">
        <v>127</v>
      </c>
      <c r="D135" s="0" t="s">
        <v>751</v>
      </c>
      <c r="E135" s="0" t="s">
        <v>229</v>
      </c>
      <c r="F135" s="0">
        <v>0</v>
      </c>
      <c r="G135" s="0" t="s">
        <v>106</v>
      </c>
      <c r="H135" s="0">
        <v>0</v>
      </c>
      <c r="I135" s="0">
        <v>0</v>
      </c>
      <c r="J135" s="0">
        <v>0</v>
      </c>
      <c r="K135" s="0">
        <v>0</v>
      </c>
      <c r="L135" s="0">
        <v>0</v>
      </c>
      <c r="M135" s="0">
        <v>0</v>
      </c>
      <c r="N135" s="0" t="b">
        <v>0</v>
      </c>
      <c r="O135" s="2">
        <v>44613.583333333336</v>
      </c>
      <c r="P135" s="2">
        <v>44613.625</v>
      </c>
      <c r="Q135" s="2">
        <v>44613.208333333336</v>
      </c>
      <c r="R135" s="2">
        <v>44613.25</v>
      </c>
      <c r="S135" s="0">
        <v>60</v>
      </c>
      <c r="T135" s="0">
        <v>12</v>
      </c>
      <c r="U135" s="0">
        <v>39</v>
      </c>
      <c r="V135" s="0">
        <v>477</v>
      </c>
      <c r="W135" s="1">
        <f>=HYPERLINK("10.175.1.14\MWEB.12\SEP\EntityDetails.10.175.1.14.MWEB.12.-modules-inq.477.xlsx", "&lt;Detail&gt;")</f>
      </c>
      <c r="X135" s="1">
        <f>=HYPERLINK("10.175.1.14\MWEB.12\SEP\MetricGraphs.SEP.10.175.1.14.MWEB.12.xlsx", "&lt;Metrics&gt;")</f>
      </c>
      <c r="Y135" s="0" t="s">
        <v>107</v>
      </c>
      <c r="Z135" s="0" t="s">
        <v>108</v>
      </c>
      <c r="AA135" s="0" t="s">
        <v>128</v>
      </c>
      <c r="AB135" s="0" t="s">
        <v>752</v>
      </c>
      <c r="AC135" s="0" t="s">
        <v>109</v>
      </c>
    </row>
    <row r="136">
      <c r="A136" s="0" t="s">
        <v>28</v>
      </c>
      <c r="B136" s="0" t="s">
        <v>30</v>
      </c>
      <c r="C136" s="0" t="s">
        <v>147</v>
      </c>
      <c r="D136" s="0" t="s">
        <v>339</v>
      </c>
      <c r="E136" s="0" t="s">
        <v>229</v>
      </c>
      <c r="F136" s="0">
        <v>0</v>
      </c>
      <c r="G136" s="0" t="s">
        <v>106</v>
      </c>
      <c r="H136" s="0">
        <v>0</v>
      </c>
      <c r="I136" s="0">
        <v>0</v>
      </c>
      <c r="J136" s="0">
        <v>0</v>
      </c>
      <c r="K136" s="0">
        <v>0</v>
      </c>
      <c r="L136" s="0">
        <v>0</v>
      </c>
      <c r="M136" s="0">
        <v>0</v>
      </c>
      <c r="N136" s="0" t="b">
        <v>0</v>
      </c>
      <c r="O136" s="2">
        <v>44613.583333333336</v>
      </c>
      <c r="P136" s="2">
        <v>44613.625</v>
      </c>
      <c r="Q136" s="2">
        <v>44613.208333333336</v>
      </c>
      <c r="R136" s="2">
        <v>44613.25</v>
      </c>
      <c r="S136" s="0">
        <v>60</v>
      </c>
      <c r="T136" s="0">
        <v>12</v>
      </c>
      <c r="U136" s="0">
        <v>49</v>
      </c>
      <c r="V136" s="0">
        <v>2409</v>
      </c>
      <c r="W136" s="1">
        <f>=HYPERLINK("10.175.1.14\MWEB.12\SEP\EntityDetails.10.175.1.14.MWEB.12.-net-.2409.xlsx", "&lt;Detail&gt;")</f>
      </c>
      <c r="X136" s="1">
        <f>=HYPERLINK("10.175.1.14\MWEB.12\SEP\MetricGraphs.SEP.10.175.1.14.MWEB.12.xlsx", "&lt;Metrics&gt;")</f>
      </c>
      <c r="Y136" s="0" t="s">
        <v>107</v>
      </c>
      <c r="Z136" s="0" t="s">
        <v>108</v>
      </c>
      <c r="AA136" s="0" t="s">
        <v>148</v>
      </c>
      <c r="AB136" s="0" t="s">
        <v>753</v>
      </c>
      <c r="AC136" s="0" t="s">
        <v>109</v>
      </c>
    </row>
    <row r="137">
      <c r="A137" s="0" t="s">
        <v>28</v>
      </c>
      <c r="B137" s="0" t="s">
        <v>30</v>
      </c>
      <c r="C137" s="0" t="s">
        <v>149</v>
      </c>
      <c r="D137" s="0" t="s">
        <v>339</v>
      </c>
      <c r="E137" s="0" t="s">
        <v>229</v>
      </c>
      <c r="F137" s="0">
        <v>0</v>
      </c>
      <c r="G137" s="0" t="s">
        <v>106</v>
      </c>
      <c r="H137" s="0">
        <v>0</v>
      </c>
      <c r="I137" s="0">
        <v>0</v>
      </c>
      <c r="J137" s="0">
        <v>0</v>
      </c>
      <c r="K137" s="0">
        <v>0</v>
      </c>
      <c r="L137" s="0">
        <v>0</v>
      </c>
      <c r="M137" s="0">
        <v>0</v>
      </c>
      <c r="N137" s="0" t="b">
        <v>0</v>
      </c>
      <c r="O137" s="2">
        <v>44613.583333333336</v>
      </c>
      <c r="P137" s="2">
        <v>44613.625</v>
      </c>
      <c r="Q137" s="2">
        <v>44613.208333333336</v>
      </c>
      <c r="R137" s="2">
        <v>44613.25</v>
      </c>
      <c r="S137" s="0">
        <v>60</v>
      </c>
      <c r="T137" s="0">
        <v>12</v>
      </c>
      <c r="U137" s="0">
        <v>50</v>
      </c>
      <c r="V137" s="0">
        <v>2530</v>
      </c>
      <c r="W137" s="1">
        <f>=HYPERLINK("10.175.1.14\MWEB.12\SEP\EntityDetails.10.175.1.14.MWEB.12.-net-.2530.xlsx", "&lt;Detail&gt;")</f>
      </c>
      <c r="X137" s="1">
        <f>=HYPERLINK("10.175.1.14\MWEB.12\SEP\MetricGraphs.SEP.10.175.1.14.MWEB.12.xlsx", "&lt;Metrics&gt;")</f>
      </c>
      <c r="Y137" s="0" t="s">
        <v>107</v>
      </c>
      <c r="Z137" s="0" t="s">
        <v>108</v>
      </c>
      <c r="AA137" s="0" t="s">
        <v>150</v>
      </c>
      <c r="AB137" s="0" t="s">
        <v>754</v>
      </c>
      <c r="AC137" s="0" t="s">
        <v>109</v>
      </c>
    </row>
    <row r="138">
      <c r="A138" s="0" t="s">
        <v>28</v>
      </c>
      <c r="B138" s="0" t="s">
        <v>30</v>
      </c>
      <c r="C138" s="0" t="s">
        <v>153</v>
      </c>
      <c r="D138" s="0" t="s">
        <v>339</v>
      </c>
      <c r="E138" s="0" t="s">
        <v>229</v>
      </c>
      <c r="F138" s="0">
        <v>0</v>
      </c>
      <c r="G138" s="0" t="s">
        <v>106</v>
      </c>
      <c r="H138" s="0">
        <v>0</v>
      </c>
      <c r="I138" s="0">
        <v>0</v>
      </c>
      <c r="J138" s="0">
        <v>0</v>
      </c>
      <c r="K138" s="0">
        <v>0</v>
      </c>
      <c r="L138" s="0">
        <v>0</v>
      </c>
      <c r="M138" s="0">
        <v>0</v>
      </c>
      <c r="N138" s="0" t="b">
        <v>0</v>
      </c>
      <c r="O138" s="2">
        <v>44613.583333333336</v>
      </c>
      <c r="P138" s="2">
        <v>44613.625</v>
      </c>
      <c r="Q138" s="2">
        <v>44613.208333333336</v>
      </c>
      <c r="R138" s="2">
        <v>44613.25</v>
      </c>
      <c r="S138" s="0">
        <v>60</v>
      </c>
      <c r="T138" s="0">
        <v>12</v>
      </c>
      <c r="U138" s="0">
        <v>51</v>
      </c>
      <c r="V138" s="0">
        <v>2532</v>
      </c>
      <c r="W138" s="1">
        <f>=HYPERLINK("10.175.1.14\MWEB.12\SEP\EntityDetails.10.175.1.14.MWEB.12.-net-.2532.xlsx", "&lt;Detail&gt;")</f>
      </c>
      <c r="X138" s="1">
        <f>=HYPERLINK("10.175.1.14\MWEB.12\SEP\MetricGraphs.SEP.10.175.1.14.MWEB.12.xlsx", "&lt;Metrics&gt;")</f>
      </c>
      <c r="Y138" s="0" t="s">
        <v>107</v>
      </c>
      <c r="Z138" s="0" t="s">
        <v>108</v>
      </c>
      <c r="AA138" s="0" t="s">
        <v>154</v>
      </c>
      <c r="AB138" s="0" t="s">
        <v>755</v>
      </c>
      <c r="AC138" s="0" t="s">
        <v>109</v>
      </c>
    </row>
    <row r="139">
      <c r="A139" s="0" t="s">
        <v>28</v>
      </c>
      <c r="B139" s="0" t="s">
        <v>30</v>
      </c>
      <c r="C139" s="0" t="s">
        <v>127</v>
      </c>
      <c r="D139" s="0" t="s">
        <v>343</v>
      </c>
      <c r="E139" s="0" t="s">
        <v>229</v>
      </c>
      <c r="F139" s="0">
        <v>0</v>
      </c>
      <c r="G139" s="0" t="s">
        <v>106</v>
      </c>
      <c r="H139" s="0">
        <v>0</v>
      </c>
      <c r="I139" s="0">
        <v>0</v>
      </c>
      <c r="J139" s="0">
        <v>0</v>
      </c>
      <c r="K139" s="0">
        <v>0</v>
      </c>
      <c r="L139" s="0">
        <v>0</v>
      </c>
      <c r="M139" s="0">
        <v>0</v>
      </c>
      <c r="N139" s="0" t="b">
        <v>0</v>
      </c>
      <c r="O139" s="2">
        <v>44613.583333333336</v>
      </c>
      <c r="P139" s="2">
        <v>44613.625</v>
      </c>
      <c r="Q139" s="2">
        <v>44613.208333333336</v>
      </c>
      <c r="R139" s="2">
        <v>44613.25</v>
      </c>
      <c r="S139" s="0">
        <v>60</v>
      </c>
      <c r="T139" s="0">
        <v>12</v>
      </c>
      <c r="U139" s="0">
        <v>39</v>
      </c>
      <c r="V139" s="0">
        <v>298</v>
      </c>
      <c r="W139" s="1">
        <f>=HYPERLINK("10.175.1.14\MWEB.12\SEP\EntityDetails.10.175.1.14.MWEB.12.-net-nyukai.298.xlsx", "&lt;Detail&gt;")</f>
      </c>
      <c r="X139" s="1">
        <f>=HYPERLINK("10.175.1.14\MWEB.12\SEP\MetricGraphs.SEP.10.175.1.14.MWEB.12.xlsx", "&lt;Metrics&gt;")</f>
      </c>
      <c r="Y139" s="0" t="s">
        <v>107</v>
      </c>
      <c r="Z139" s="0" t="s">
        <v>108</v>
      </c>
      <c r="AA139" s="0" t="s">
        <v>128</v>
      </c>
      <c r="AB139" s="0" t="s">
        <v>756</v>
      </c>
      <c r="AC139" s="0" t="s">
        <v>109</v>
      </c>
    </row>
    <row r="140">
      <c r="A140" s="0" t="s">
        <v>28</v>
      </c>
      <c r="B140" s="0" t="s">
        <v>30</v>
      </c>
      <c r="C140" s="0" t="s">
        <v>131</v>
      </c>
      <c r="D140" s="0" t="s">
        <v>345</v>
      </c>
      <c r="E140" s="0" t="s">
        <v>229</v>
      </c>
      <c r="F140" s="0">
        <v>0</v>
      </c>
      <c r="G140" s="0" t="s">
        <v>106</v>
      </c>
      <c r="H140" s="0">
        <v>0</v>
      </c>
      <c r="I140" s="0">
        <v>0</v>
      </c>
      <c r="J140" s="0">
        <v>0</v>
      </c>
      <c r="K140" s="0">
        <v>0</v>
      </c>
      <c r="L140" s="0">
        <v>0</v>
      </c>
      <c r="M140" s="0">
        <v>0</v>
      </c>
      <c r="N140" s="0" t="b">
        <v>0</v>
      </c>
      <c r="O140" s="2">
        <v>44613.583333333336</v>
      </c>
      <c r="P140" s="2">
        <v>44613.625</v>
      </c>
      <c r="Q140" s="2">
        <v>44613.208333333336</v>
      </c>
      <c r="R140" s="2">
        <v>44613.25</v>
      </c>
      <c r="S140" s="0">
        <v>60</v>
      </c>
      <c r="T140" s="0">
        <v>12</v>
      </c>
      <c r="U140" s="0">
        <v>40</v>
      </c>
      <c r="V140" s="0">
        <v>849</v>
      </c>
      <c r="W140" s="1">
        <f>=HYPERLINK("10.175.1.14\MWEB.12\SEP\EntityDetails.10.175.1.14.MWEB.12.-net-online.849.xlsx", "&lt;Detail&gt;")</f>
      </c>
      <c r="X140" s="1">
        <f>=HYPERLINK("10.175.1.14\MWEB.12\SEP\MetricGraphs.SEP.10.175.1.14.MWEB.12.xlsx", "&lt;Metrics&gt;")</f>
      </c>
      <c r="Y140" s="0" t="s">
        <v>107</v>
      </c>
      <c r="Z140" s="0" t="s">
        <v>108</v>
      </c>
      <c r="AA140" s="0" t="s">
        <v>132</v>
      </c>
      <c r="AB140" s="0" t="s">
        <v>757</v>
      </c>
      <c r="AC140" s="0" t="s">
        <v>109</v>
      </c>
    </row>
    <row r="141">
      <c r="A141" s="0" t="s">
        <v>28</v>
      </c>
      <c r="B141" s="0" t="s">
        <v>30</v>
      </c>
      <c r="C141" s="0" t="s">
        <v>147</v>
      </c>
      <c r="D141" s="0" t="s">
        <v>758</v>
      </c>
      <c r="E141" s="0" t="s">
        <v>229</v>
      </c>
      <c r="F141" s="0">
        <v>0</v>
      </c>
      <c r="G141" s="0" t="s">
        <v>106</v>
      </c>
      <c r="H141" s="0">
        <v>0</v>
      </c>
      <c r="I141" s="0">
        <v>0</v>
      </c>
      <c r="J141" s="0">
        <v>0</v>
      </c>
      <c r="K141" s="0">
        <v>0</v>
      </c>
      <c r="L141" s="0">
        <v>0</v>
      </c>
      <c r="M141" s="0">
        <v>0</v>
      </c>
      <c r="N141" s="0" t="b">
        <v>0</v>
      </c>
      <c r="O141" s="2">
        <v>44613.583333333336</v>
      </c>
      <c r="P141" s="2">
        <v>44613.625</v>
      </c>
      <c r="Q141" s="2">
        <v>44613.208333333336</v>
      </c>
      <c r="R141" s="2">
        <v>44613.25</v>
      </c>
      <c r="S141" s="0">
        <v>60</v>
      </c>
      <c r="T141" s="0">
        <v>12</v>
      </c>
      <c r="U141" s="0">
        <v>49</v>
      </c>
      <c r="V141" s="0">
        <v>2410</v>
      </c>
      <c r="W141" s="1">
        <f>=HYPERLINK("10.175.1.14\MWEB.12\SEP\EntityDetails.10.175.1.14.MWEB.12.-net-s_entry.2410.xlsx", "&lt;Detail&gt;")</f>
      </c>
      <c r="X141" s="1">
        <f>=HYPERLINK("10.175.1.14\MWEB.12\SEP\MetricGraphs.SEP.10.175.1.14.MWEB.12.xlsx", "&lt;Metrics&gt;")</f>
      </c>
      <c r="Y141" s="0" t="s">
        <v>107</v>
      </c>
      <c r="Z141" s="0" t="s">
        <v>108</v>
      </c>
      <c r="AA141" s="0" t="s">
        <v>148</v>
      </c>
      <c r="AB141" s="0" t="s">
        <v>759</v>
      </c>
      <c r="AC141" s="0" t="s">
        <v>109</v>
      </c>
    </row>
    <row r="142">
      <c r="A142" s="0" t="s">
        <v>28</v>
      </c>
      <c r="B142" s="0" t="s">
        <v>30</v>
      </c>
      <c r="C142" s="0" t="s">
        <v>125</v>
      </c>
      <c r="D142" s="0" t="s">
        <v>760</v>
      </c>
      <c r="E142" s="0" t="s">
        <v>229</v>
      </c>
      <c r="F142" s="0">
        <v>0</v>
      </c>
      <c r="G142" s="0" t="s">
        <v>106</v>
      </c>
      <c r="H142" s="0">
        <v>0</v>
      </c>
      <c r="I142" s="0">
        <v>0</v>
      </c>
      <c r="J142" s="0">
        <v>0</v>
      </c>
      <c r="K142" s="0">
        <v>0</v>
      </c>
      <c r="L142" s="0">
        <v>0</v>
      </c>
      <c r="M142" s="0">
        <v>0</v>
      </c>
      <c r="N142" s="0" t="b">
        <v>0</v>
      </c>
      <c r="O142" s="2">
        <v>44613.583333333336</v>
      </c>
      <c r="P142" s="2">
        <v>44613.625</v>
      </c>
      <c r="Q142" s="2">
        <v>44613.208333333336</v>
      </c>
      <c r="R142" s="2">
        <v>44613.25</v>
      </c>
      <c r="S142" s="0">
        <v>60</v>
      </c>
      <c r="T142" s="0">
        <v>12</v>
      </c>
      <c r="U142" s="0">
        <v>42</v>
      </c>
      <c r="V142" s="0">
        <v>1198</v>
      </c>
      <c r="W142" s="1">
        <f>=HYPERLINK("10.175.1.14\MWEB.12\SEP\EntityDetails.10.175.1.14.MWEB.12.-niet1707462.1198.xlsx", "&lt;Detail&gt;")</f>
      </c>
      <c r="X142" s="1">
        <f>=HYPERLINK("10.175.1.14\MWEB.12\SEP\MetricGraphs.SEP.10.175.1.14.MWEB.12.xlsx", "&lt;Metrics&gt;")</f>
      </c>
      <c r="Y142" s="0" t="s">
        <v>107</v>
      </c>
      <c r="Z142" s="0" t="s">
        <v>108</v>
      </c>
      <c r="AA142" s="0" t="s">
        <v>126</v>
      </c>
      <c r="AB142" s="0" t="s">
        <v>761</v>
      </c>
      <c r="AC142" s="0" t="s">
        <v>109</v>
      </c>
    </row>
    <row r="143">
      <c r="A143" s="0" t="s">
        <v>28</v>
      </c>
      <c r="B143" s="0" t="s">
        <v>30</v>
      </c>
      <c r="C143" s="0" t="s">
        <v>127</v>
      </c>
      <c r="D143" s="0" t="s">
        <v>762</v>
      </c>
      <c r="E143" s="0" t="s">
        <v>229</v>
      </c>
      <c r="F143" s="0">
        <v>0</v>
      </c>
      <c r="G143" s="0" t="s">
        <v>106</v>
      </c>
      <c r="H143" s="0">
        <v>0</v>
      </c>
      <c r="I143" s="0">
        <v>0</v>
      </c>
      <c r="J143" s="0">
        <v>0</v>
      </c>
      <c r="K143" s="0">
        <v>0</v>
      </c>
      <c r="L143" s="0">
        <v>0</v>
      </c>
      <c r="M143" s="0">
        <v>0</v>
      </c>
      <c r="N143" s="0" t="b">
        <v>0</v>
      </c>
      <c r="O143" s="2">
        <v>44613.583333333336</v>
      </c>
      <c r="P143" s="2">
        <v>44613.625</v>
      </c>
      <c r="Q143" s="2">
        <v>44613.208333333336</v>
      </c>
      <c r="R143" s="2">
        <v>44613.25</v>
      </c>
      <c r="S143" s="0">
        <v>60</v>
      </c>
      <c r="T143" s="0">
        <v>12</v>
      </c>
      <c r="U143" s="0">
        <v>39</v>
      </c>
      <c r="V143" s="0">
        <v>1210</v>
      </c>
      <c r="W143" s="1">
        <f>=HYPERLINK("10.175.1.14\MWEB.12\SEP\EntityDetails.10.175.1.14.MWEB.12.-niet5738484.1210.xlsx", "&lt;Detail&gt;")</f>
      </c>
      <c r="X143" s="1">
        <f>=HYPERLINK("10.175.1.14\MWEB.12\SEP\MetricGraphs.SEP.10.175.1.14.MWEB.12.xlsx", "&lt;Metrics&gt;")</f>
      </c>
      <c r="Y143" s="0" t="s">
        <v>107</v>
      </c>
      <c r="Z143" s="0" t="s">
        <v>108</v>
      </c>
      <c r="AA143" s="0" t="s">
        <v>128</v>
      </c>
      <c r="AB143" s="0" t="s">
        <v>763</v>
      </c>
      <c r="AC143" s="0" t="s">
        <v>109</v>
      </c>
    </row>
    <row r="144">
      <c r="A144" s="0" t="s">
        <v>28</v>
      </c>
      <c r="B144" s="0" t="s">
        <v>30</v>
      </c>
      <c r="C144" s="0" t="s">
        <v>127</v>
      </c>
      <c r="D144" s="0" t="s">
        <v>764</v>
      </c>
      <c r="E144" s="0" t="s">
        <v>229</v>
      </c>
      <c r="F144" s="0">
        <v>0</v>
      </c>
      <c r="G144" s="0" t="s">
        <v>106</v>
      </c>
      <c r="H144" s="0">
        <v>0</v>
      </c>
      <c r="I144" s="0">
        <v>0</v>
      </c>
      <c r="J144" s="0">
        <v>0</v>
      </c>
      <c r="K144" s="0">
        <v>0</v>
      </c>
      <c r="L144" s="0">
        <v>0</v>
      </c>
      <c r="M144" s="0">
        <v>0</v>
      </c>
      <c r="N144" s="0" t="b">
        <v>0</v>
      </c>
      <c r="O144" s="2">
        <v>44613.583333333336</v>
      </c>
      <c r="P144" s="2">
        <v>44613.625</v>
      </c>
      <c r="Q144" s="2">
        <v>44613.208333333336</v>
      </c>
      <c r="R144" s="2">
        <v>44613.25</v>
      </c>
      <c r="S144" s="0">
        <v>60</v>
      </c>
      <c r="T144" s="0">
        <v>12</v>
      </c>
      <c r="U144" s="0">
        <v>39</v>
      </c>
      <c r="V144" s="0">
        <v>1212</v>
      </c>
      <c r="W144" s="1">
        <f>=HYPERLINK("10.175.1.14\MWEB.12\SEP\EntityDetails.10.175.1.14.MWEB.12.-niet9360349.1212.xlsx", "&lt;Detail&gt;")</f>
      </c>
      <c r="X144" s="1">
        <f>=HYPERLINK("10.175.1.14\MWEB.12\SEP\MetricGraphs.SEP.10.175.1.14.MWEB.12.xlsx", "&lt;Metrics&gt;")</f>
      </c>
      <c r="Y144" s="0" t="s">
        <v>107</v>
      </c>
      <c r="Z144" s="0" t="s">
        <v>108</v>
      </c>
      <c r="AA144" s="0" t="s">
        <v>128</v>
      </c>
      <c r="AB144" s="0" t="s">
        <v>765</v>
      </c>
      <c r="AC144" s="0" t="s">
        <v>109</v>
      </c>
    </row>
    <row r="145">
      <c r="A145" s="0" t="s">
        <v>28</v>
      </c>
      <c r="B145" s="0" t="s">
        <v>30</v>
      </c>
      <c r="C145" s="0" t="s">
        <v>125</v>
      </c>
      <c r="D145" s="0" t="s">
        <v>766</v>
      </c>
      <c r="E145" s="0" t="s">
        <v>229</v>
      </c>
      <c r="F145" s="0">
        <v>0</v>
      </c>
      <c r="G145" s="0" t="s">
        <v>106</v>
      </c>
      <c r="H145" s="0">
        <v>0</v>
      </c>
      <c r="I145" s="0">
        <v>0</v>
      </c>
      <c r="J145" s="0">
        <v>0</v>
      </c>
      <c r="K145" s="0">
        <v>0</v>
      </c>
      <c r="L145" s="0">
        <v>0</v>
      </c>
      <c r="M145" s="0">
        <v>0</v>
      </c>
      <c r="N145" s="0" t="b">
        <v>0</v>
      </c>
      <c r="O145" s="2">
        <v>44613.583333333336</v>
      </c>
      <c r="P145" s="2">
        <v>44613.625</v>
      </c>
      <c r="Q145" s="2">
        <v>44613.208333333336</v>
      </c>
      <c r="R145" s="2">
        <v>44613.25</v>
      </c>
      <c r="S145" s="0">
        <v>60</v>
      </c>
      <c r="T145" s="0">
        <v>12</v>
      </c>
      <c r="U145" s="0">
        <v>42</v>
      </c>
      <c r="V145" s="0">
        <v>332</v>
      </c>
      <c r="W145" s="1">
        <f>=HYPERLINK("10.175.1.14\MWEB.12\SEP\EntityDetails.10.175.1.14.MWEB.12.-OEM-CGI_ous.332.xlsx", "&lt;Detail&gt;")</f>
      </c>
      <c r="X145" s="1">
        <f>=HYPERLINK("10.175.1.14\MWEB.12\SEP\MetricGraphs.SEP.10.175.1.14.MWEB.12.xlsx", "&lt;Metrics&gt;")</f>
      </c>
      <c r="Y145" s="0" t="s">
        <v>107</v>
      </c>
      <c r="Z145" s="0" t="s">
        <v>108</v>
      </c>
      <c r="AA145" s="0" t="s">
        <v>126</v>
      </c>
      <c r="AB145" s="0" t="s">
        <v>767</v>
      </c>
      <c r="AC145" s="0" t="s">
        <v>109</v>
      </c>
    </row>
    <row r="146">
      <c r="A146" s="0" t="s">
        <v>28</v>
      </c>
      <c r="B146" s="0" t="s">
        <v>30</v>
      </c>
      <c r="C146" s="0" t="s">
        <v>133</v>
      </c>
      <c r="D146" s="0" t="s">
        <v>766</v>
      </c>
      <c r="E146" s="0" t="s">
        <v>229</v>
      </c>
      <c r="F146" s="0">
        <v>0</v>
      </c>
      <c r="G146" s="0" t="s">
        <v>106</v>
      </c>
      <c r="H146" s="0">
        <v>0</v>
      </c>
      <c r="I146" s="0">
        <v>0</v>
      </c>
      <c r="J146" s="0">
        <v>0</v>
      </c>
      <c r="K146" s="0">
        <v>0</v>
      </c>
      <c r="L146" s="0">
        <v>0</v>
      </c>
      <c r="M146" s="0">
        <v>0</v>
      </c>
      <c r="N146" s="0" t="b">
        <v>0</v>
      </c>
      <c r="O146" s="2">
        <v>44613.583333333336</v>
      </c>
      <c r="P146" s="2">
        <v>44613.625</v>
      </c>
      <c r="Q146" s="2">
        <v>44613.208333333336</v>
      </c>
      <c r="R146" s="2">
        <v>44613.25</v>
      </c>
      <c r="S146" s="0">
        <v>60</v>
      </c>
      <c r="T146" s="0">
        <v>12</v>
      </c>
      <c r="U146" s="0">
        <v>36</v>
      </c>
      <c r="V146" s="0">
        <v>455</v>
      </c>
      <c r="W146" s="1">
        <f>=HYPERLINK("10.175.1.14\MWEB.12\SEP\EntityDetails.10.175.1.14.MWEB.12.-OEM-CGI_ous.455.xlsx", "&lt;Detail&gt;")</f>
      </c>
      <c r="X146" s="1">
        <f>=HYPERLINK("10.175.1.14\MWEB.12\SEP\MetricGraphs.SEP.10.175.1.14.MWEB.12.xlsx", "&lt;Metrics&gt;")</f>
      </c>
      <c r="Y146" s="0" t="s">
        <v>107</v>
      </c>
      <c r="Z146" s="0" t="s">
        <v>108</v>
      </c>
      <c r="AA146" s="0" t="s">
        <v>134</v>
      </c>
      <c r="AB146" s="0" t="s">
        <v>768</v>
      </c>
      <c r="AC146" s="0" t="s">
        <v>109</v>
      </c>
    </row>
    <row r="147">
      <c r="A147" s="0" t="s">
        <v>28</v>
      </c>
      <c r="B147" s="0" t="s">
        <v>30</v>
      </c>
      <c r="C147" s="0" t="s">
        <v>145</v>
      </c>
      <c r="D147" s="0" t="s">
        <v>479</v>
      </c>
      <c r="E147" s="0" t="s">
        <v>229</v>
      </c>
      <c r="F147" s="0">
        <v>0</v>
      </c>
      <c r="G147" s="0" t="s">
        <v>106</v>
      </c>
      <c r="H147" s="0">
        <v>0</v>
      </c>
      <c r="I147" s="0">
        <v>0</v>
      </c>
      <c r="J147" s="0">
        <v>0</v>
      </c>
      <c r="K147" s="0">
        <v>0</v>
      </c>
      <c r="L147" s="0">
        <v>0</v>
      </c>
      <c r="M147" s="0">
        <v>0</v>
      </c>
      <c r="N147" s="0" t="b">
        <v>0</v>
      </c>
      <c r="O147" s="2">
        <v>44613.583333333336</v>
      </c>
      <c r="P147" s="2">
        <v>44613.625</v>
      </c>
      <c r="Q147" s="2">
        <v>44613.208333333336</v>
      </c>
      <c r="R147" s="2">
        <v>44613.25</v>
      </c>
      <c r="S147" s="0">
        <v>60</v>
      </c>
      <c r="T147" s="0">
        <v>12</v>
      </c>
      <c r="U147" s="0">
        <v>34</v>
      </c>
      <c r="V147" s="0">
        <v>349</v>
      </c>
      <c r="W147" s="1">
        <f>=HYPERLINK("10.175.1.14\MWEB.12\SEP\EntityDetails.10.175.1.14.MWEB.12.-ondelay-Hea.349.xlsx", "&lt;Detail&gt;")</f>
      </c>
      <c r="X147" s="1">
        <f>=HYPERLINK("10.175.1.14\MWEB.12\SEP\MetricGraphs.SEP.10.175.1.14.MWEB.12.xlsx", "&lt;Metrics&gt;")</f>
      </c>
      <c r="Y147" s="0" t="s">
        <v>107</v>
      </c>
      <c r="Z147" s="0" t="s">
        <v>108</v>
      </c>
      <c r="AA147" s="0" t="s">
        <v>146</v>
      </c>
      <c r="AB147" s="0" t="s">
        <v>769</v>
      </c>
      <c r="AC147" s="0" t="s">
        <v>109</v>
      </c>
    </row>
    <row r="148">
      <c r="A148" s="0" t="s">
        <v>28</v>
      </c>
      <c r="B148" s="0" t="s">
        <v>30</v>
      </c>
      <c r="C148" s="0" t="s">
        <v>165</v>
      </c>
      <c r="D148" s="0" t="s">
        <v>479</v>
      </c>
      <c r="E148" s="0" t="s">
        <v>229</v>
      </c>
      <c r="F148" s="0">
        <v>0</v>
      </c>
      <c r="G148" s="0" t="s">
        <v>106</v>
      </c>
      <c r="H148" s="0">
        <v>0</v>
      </c>
      <c r="I148" s="0">
        <v>0</v>
      </c>
      <c r="J148" s="0">
        <v>0</v>
      </c>
      <c r="K148" s="0">
        <v>0</v>
      </c>
      <c r="L148" s="0">
        <v>0</v>
      </c>
      <c r="M148" s="0">
        <v>0</v>
      </c>
      <c r="N148" s="0" t="b">
        <v>0</v>
      </c>
      <c r="O148" s="2">
        <v>44613.583333333336</v>
      </c>
      <c r="P148" s="2">
        <v>44613.625</v>
      </c>
      <c r="Q148" s="2">
        <v>44613.208333333336</v>
      </c>
      <c r="R148" s="2">
        <v>44613.25</v>
      </c>
      <c r="S148" s="0">
        <v>60</v>
      </c>
      <c r="T148" s="0">
        <v>12</v>
      </c>
      <c r="U148" s="0">
        <v>47</v>
      </c>
      <c r="V148" s="0">
        <v>1954</v>
      </c>
      <c r="W148" s="1">
        <f>=HYPERLINK("10.175.1.14\MWEB.12\SEP\EntityDetails.10.175.1.14.MWEB.12.-ondelay-Hea.1954.xlsx", "&lt;Detail&gt;")</f>
      </c>
      <c r="X148" s="1">
        <f>=HYPERLINK("10.175.1.14\MWEB.12\SEP\MetricGraphs.SEP.10.175.1.14.MWEB.12.xlsx", "&lt;Metrics&gt;")</f>
      </c>
      <c r="Y148" s="0" t="s">
        <v>107</v>
      </c>
      <c r="Z148" s="0" t="s">
        <v>108</v>
      </c>
      <c r="AA148" s="0" t="s">
        <v>166</v>
      </c>
      <c r="AB148" s="0" t="s">
        <v>770</v>
      </c>
      <c r="AC148" s="0" t="s">
        <v>109</v>
      </c>
    </row>
    <row r="149">
      <c r="A149" s="0" t="s">
        <v>28</v>
      </c>
      <c r="B149" s="0" t="s">
        <v>30</v>
      </c>
      <c r="C149" s="0" t="s">
        <v>165</v>
      </c>
      <c r="D149" s="0" t="s">
        <v>771</v>
      </c>
      <c r="E149" s="0" t="s">
        <v>229</v>
      </c>
      <c r="F149" s="0">
        <v>0</v>
      </c>
      <c r="G149" s="0" t="s">
        <v>106</v>
      </c>
      <c r="H149" s="0">
        <v>0</v>
      </c>
      <c r="I149" s="0">
        <v>0</v>
      </c>
      <c r="J149" s="0">
        <v>0</v>
      </c>
      <c r="K149" s="0">
        <v>0</v>
      </c>
      <c r="L149" s="0">
        <v>0</v>
      </c>
      <c r="M149" s="0">
        <v>0</v>
      </c>
      <c r="N149" s="0" t="b">
        <v>0</v>
      </c>
      <c r="O149" s="2">
        <v>44613.583333333336</v>
      </c>
      <c r="P149" s="2">
        <v>44613.625</v>
      </c>
      <c r="Q149" s="2">
        <v>44613.208333333336</v>
      </c>
      <c r="R149" s="2">
        <v>44613.25</v>
      </c>
      <c r="S149" s="0">
        <v>60</v>
      </c>
      <c r="T149" s="0">
        <v>12</v>
      </c>
      <c r="U149" s="0">
        <v>47</v>
      </c>
      <c r="V149" s="0">
        <v>5038</v>
      </c>
      <c r="W149" s="1">
        <f>=HYPERLINK("10.175.1.14\MWEB.12\SEP\EntityDetails.10.175.1.14.MWEB.12.-ondelay-hel.5038.xlsx", "&lt;Detail&gt;")</f>
      </c>
      <c r="X149" s="1">
        <f>=HYPERLINK("10.175.1.14\MWEB.12\SEP\MetricGraphs.SEP.10.175.1.14.MWEB.12.xlsx", "&lt;Metrics&gt;")</f>
      </c>
      <c r="Y149" s="0" t="s">
        <v>107</v>
      </c>
      <c r="Z149" s="0" t="s">
        <v>108</v>
      </c>
      <c r="AA149" s="0" t="s">
        <v>166</v>
      </c>
      <c r="AB149" s="0" t="s">
        <v>772</v>
      </c>
      <c r="AC149" s="0" t="s">
        <v>109</v>
      </c>
    </row>
    <row r="150">
      <c r="A150" s="0" t="s">
        <v>28</v>
      </c>
      <c r="B150" s="0" t="s">
        <v>30</v>
      </c>
      <c r="C150" s="0" t="s">
        <v>125</v>
      </c>
      <c r="D150" s="0" t="s">
        <v>482</v>
      </c>
      <c r="E150" s="0" t="s">
        <v>229</v>
      </c>
      <c r="F150" s="0">
        <v>0</v>
      </c>
      <c r="G150" s="0" t="s">
        <v>106</v>
      </c>
      <c r="H150" s="0">
        <v>0</v>
      </c>
      <c r="I150" s="0">
        <v>0</v>
      </c>
      <c r="J150" s="0">
        <v>0</v>
      </c>
      <c r="K150" s="0">
        <v>0</v>
      </c>
      <c r="L150" s="0">
        <v>0</v>
      </c>
      <c r="M150" s="0">
        <v>0</v>
      </c>
      <c r="N150" s="0" t="b">
        <v>0</v>
      </c>
      <c r="O150" s="2">
        <v>44613.583333333336</v>
      </c>
      <c r="P150" s="2">
        <v>44613.625</v>
      </c>
      <c r="Q150" s="2">
        <v>44613.208333333336</v>
      </c>
      <c r="R150" s="2">
        <v>44613.25</v>
      </c>
      <c r="S150" s="0">
        <v>60</v>
      </c>
      <c r="T150" s="0">
        <v>12</v>
      </c>
      <c r="U150" s="0">
        <v>42</v>
      </c>
      <c r="V150" s="0">
        <v>168</v>
      </c>
      <c r="W150" s="1">
        <f>=HYPERLINK("10.175.1.14\MWEB.12\SEP\EntityDetails.10.175.1.14.MWEB.12.-ondelay-odc.168.xlsx", "&lt;Detail&gt;")</f>
      </c>
      <c r="X150" s="1">
        <f>=HYPERLINK("10.175.1.14\MWEB.12\SEP\MetricGraphs.SEP.10.175.1.14.MWEB.12.xlsx", "&lt;Metrics&gt;")</f>
      </c>
      <c r="Y150" s="0" t="s">
        <v>107</v>
      </c>
      <c r="Z150" s="0" t="s">
        <v>108</v>
      </c>
      <c r="AA150" s="0" t="s">
        <v>126</v>
      </c>
      <c r="AB150" s="0" t="s">
        <v>773</v>
      </c>
      <c r="AC150" s="0" t="s">
        <v>109</v>
      </c>
    </row>
    <row r="151">
      <c r="A151" s="0" t="s">
        <v>28</v>
      </c>
      <c r="B151" s="0" t="s">
        <v>30</v>
      </c>
      <c r="C151" s="0" t="s">
        <v>133</v>
      </c>
      <c r="D151" s="0" t="s">
        <v>482</v>
      </c>
      <c r="E151" s="0" t="s">
        <v>229</v>
      </c>
      <c r="F151" s="0">
        <v>0</v>
      </c>
      <c r="G151" s="0" t="s">
        <v>106</v>
      </c>
      <c r="H151" s="0">
        <v>0</v>
      </c>
      <c r="I151" s="0">
        <v>0</v>
      </c>
      <c r="J151" s="0">
        <v>0</v>
      </c>
      <c r="K151" s="0">
        <v>0</v>
      </c>
      <c r="L151" s="0">
        <v>0</v>
      </c>
      <c r="M151" s="0">
        <v>0</v>
      </c>
      <c r="N151" s="0" t="b">
        <v>0</v>
      </c>
      <c r="O151" s="2">
        <v>44613.583333333336</v>
      </c>
      <c r="P151" s="2">
        <v>44613.625</v>
      </c>
      <c r="Q151" s="2">
        <v>44613.208333333336</v>
      </c>
      <c r="R151" s="2">
        <v>44613.25</v>
      </c>
      <c r="S151" s="0">
        <v>60</v>
      </c>
      <c r="T151" s="0">
        <v>12</v>
      </c>
      <c r="U151" s="0">
        <v>36</v>
      </c>
      <c r="V151" s="0">
        <v>159</v>
      </c>
      <c r="W151" s="1">
        <f>=HYPERLINK("10.175.1.14\MWEB.12\SEP\EntityDetails.10.175.1.14.MWEB.12.-ondelay-odc.159.xlsx", "&lt;Detail&gt;")</f>
      </c>
      <c r="X151" s="1">
        <f>=HYPERLINK("10.175.1.14\MWEB.12\SEP\MetricGraphs.SEP.10.175.1.14.MWEB.12.xlsx", "&lt;Metrics&gt;")</f>
      </c>
      <c r="Y151" s="0" t="s">
        <v>107</v>
      </c>
      <c r="Z151" s="0" t="s">
        <v>108</v>
      </c>
      <c r="AA151" s="0" t="s">
        <v>134</v>
      </c>
      <c r="AB151" s="0" t="s">
        <v>774</v>
      </c>
      <c r="AC151" s="0" t="s">
        <v>109</v>
      </c>
    </row>
    <row r="152">
      <c r="A152" s="0" t="s">
        <v>28</v>
      </c>
      <c r="B152" s="0" t="s">
        <v>30</v>
      </c>
      <c r="C152" s="0" t="s">
        <v>145</v>
      </c>
      <c r="D152" s="0" t="s">
        <v>482</v>
      </c>
      <c r="E152" s="0" t="s">
        <v>229</v>
      </c>
      <c r="F152" s="0">
        <v>0</v>
      </c>
      <c r="G152" s="0" t="s">
        <v>106</v>
      </c>
      <c r="H152" s="0">
        <v>0</v>
      </c>
      <c r="I152" s="0">
        <v>0</v>
      </c>
      <c r="J152" s="0">
        <v>0</v>
      </c>
      <c r="K152" s="0">
        <v>0</v>
      </c>
      <c r="L152" s="0">
        <v>0</v>
      </c>
      <c r="M152" s="0">
        <v>0</v>
      </c>
      <c r="N152" s="0" t="b">
        <v>0</v>
      </c>
      <c r="O152" s="2">
        <v>44613.583333333336</v>
      </c>
      <c r="P152" s="2">
        <v>44613.625</v>
      </c>
      <c r="Q152" s="2">
        <v>44613.208333333336</v>
      </c>
      <c r="R152" s="2">
        <v>44613.25</v>
      </c>
      <c r="S152" s="0">
        <v>60</v>
      </c>
      <c r="T152" s="0">
        <v>12</v>
      </c>
      <c r="U152" s="0">
        <v>34</v>
      </c>
      <c r="V152" s="0">
        <v>230</v>
      </c>
      <c r="W152" s="1">
        <f>=HYPERLINK("10.175.1.14\MWEB.12\SEP\EntityDetails.10.175.1.14.MWEB.12.-ondelay-odc.230.xlsx", "&lt;Detail&gt;")</f>
      </c>
      <c r="X152" s="1">
        <f>=HYPERLINK("10.175.1.14\MWEB.12\SEP\MetricGraphs.SEP.10.175.1.14.MWEB.12.xlsx", "&lt;Metrics&gt;")</f>
      </c>
      <c r="Y152" s="0" t="s">
        <v>107</v>
      </c>
      <c r="Z152" s="0" t="s">
        <v>108</v>
      </c>
      <c r="AA152" s="0" t="s">
        <v>146</v>
      </c>
      <c r="AB152" s="0" t="s">
        <v>775</v>
      </c>
      <c r="AC152" s="0" t="s">
        <v>109</v>
      </c>
    </row>
    <row r="153">
      <c r="A153" s="0" t="s">
        <v>28</v>
      </c>
      <c r="B153" s="0" t="s">
        <v>30</v>
      </c>
      <c r="C153" s="0" t="s">
        <v>165</v>
      </c>
      <c r="D153" s="0" t="s">
        <v>482</v>
      </c>
      <c r="E153" s="0" t="s">
        <v>229</v>
      </c>
      <c r="F153" s="0">
        <v>0</v>
      </c>
      <c r="G153" s="0" t="s">
        <v>106</v>
      </c>
      <c r="H153" s="0">
        <v>0</v>
      </c>
      <c r="I153" s="0">
        <v>0</v>
      </c>
      <c r="J153" s="0">
        <v>0</v>
      </c>
      <c r="K153" s="0">
        <v>0</v>
      </c>
      <c r="L153" s="0">
        <v>0</v>
      </c>
      <c r="M153" s="0">
        <v>0</v>
      </c>
      <c r="N153" s="0" t="b">
        <v>0</v>
      </c>
      <c r="O153" s="2">
        <v>44613.583333333336</v>
      </c>
      <c r="P153" s="2">
        <v>44613.625</v>
      </c>
      <c r="Q153" s="2">
        <v>44613.208333333336</v>
      </c>
      <c r="R153" s="2">
        <v>44613.25</v>
      </c>
      <c r="S153" s="0">
        <v>60</v>
      </c>
      <c r="T153" s="0">
        <v>12</v>
      </c>
      <c r="U153" s="0">
        <v>47</v>
      </c>
      <c r="V153" s="0">
        <v>2255</v>
      </c>
      <c r="W153" s="1">
        <f>=HYPERLINK("10.175.1.14\MWEB.12\SEP\EntityDetails.10.175.1.14.MWEB.12.-ondelay-odc.2255.xlsx", "&lt;Detail&gt;")</f>
      </c>
      <c r="X153" s="1">
        <f>=HYPERLINK("10.175.1.14\MWEB.12\SEP\MetricGraphs.SEP.10.175.1.14.MWEB.12.xlsx", "&lt;Metrics&gt;")</f>
      </c>
      <c r="Y153" s="0" t="s">
        <v>107</v>
      </c>
      <c r="Z153" s="0" t="s">
        <v>108</v>
      </c>
      <c r="AA153" s="0" t="s">
        <v>166</v>
      </c>
      <c r="AB153" s="0" t="s">
        <v>776</v>
      </c>
      <c r="AC153" s="0" t="s">
        <v>109</v>
      </c>
    </row>
    <row r="154">
      <c r="A154" s="0" t="s">
        <v>28</v>
      </c>
      <c r="B154" s="0" t="s">
        <v>30</v>
      </c>
      <c r="C154" s="0" t="s">
        <v>127</v>
      </c>
      <c r="D154" s="0" t="s">
        <v>486</v>
      </c>
      <c r="E154" s="0" t="s">
        <v>229</v>
      </c>
      <c r="F154" s="0">
        <v>0</v>
      </c>
      <c r="G154" s="0" t="s">
        <v>106</v>
      </c>
      <c r="H154" s="0">
        <v>0</v>
      </c>
      <c r="I154" s="0">
        <v>0</v>
      </c>
      <c r="J154" s="0">
        <v>0</v>
      </c>
      <c r="K154" s="0">
        <v>0</v>
      </c>
      <c r="L154" s="0">
        <v>0</v>
      </c>
      <c r="M154" s="0">
        <v>0</v>
      </c>
      <c r="N154" s="0" t="b">
        <v>0</v>
      </c>
      <c r="O154" s="2">
        <v>44613.583333333336</v>
      </c>
      <c r="P154" s="2">
        <v>44613.625</v>
      </c>
      <c r="Q154" s="2">
        <v>44613.208333333336</v>
      </c>
      <c r="R154" s="2">
        <v>44613.25</v>
      </c>
      <c r="S154" s="0">
        <v>60</v>
      </c>
      <c r="T154" s="0">
        <v>12</v>
      </c>
      <c r="U154" s="0">
        <v>39</v>
      </c>
      <c r="V154" s="0">
        <v>122</v>
      </c>
      <c r="W154" s="1">
        <f>=HYPERLINK("10.175.1.14\MWEB.12\SEP\EntityDetails.10.175.1.14.MWEB.12.-online-addr.122.xlsx", "&lt;Detail&gt;")</f>
      </c>
      <c r="X154" s="1">
        <f>=HYPERLINK("10.175.1.14\MWEB.12\SEP\MetricGraphs.SEP.10.175.1.14.MWEB.12.xlsx", "&lt;Metrics&gt;")</f>
      </c>
      <c r="Y154" s="0" t="s">
        <v>107</v>
      </c>
      <c r="Z154" s="0" t="s">
        <v>108</v>
      </c>
      <c r="AA154" s="0" t="s">
        <v>128</v>
      </c>
      <c r="AB154" s="0" t="s">
        <v>777</v>
      </c>
      <c r="AC154" s="0" t="s">
        <v>109</v>
      </c>
    </row>
    <row r="155">
      <c r="A155" s="0" t="s">
        <v>28</v>
      </c>
      <c r="B155" s="0" t="s">
        <v>30</v>
      </c>
      <c r="C155" s="0" t="s">
        <v>127</v>
      </c>
      <c r="D155" s="0" t="s">
        <v>488</v>
      </c>
      <c r="E155" s="0" t="s">
        <v>229</v>
      </c>
      <c r="F155" s="0">
        <v>0</v>
      </c>
      <c r="G155" s="0" t="s">
        <v>106</v>
      </c>
      <c r="H155" s="0">
        <v>0</v>
      </c>
      <c r="I155" s="0">
        <v>0</v>
      </c>
      <c r="J155" s="0">
        <v>0</v>
      </c>
      <c r="K155" s="0">
        <v>0</v>
      </c>
      <c r="L155" s="0">
        <v>0</v>
      </c>
      <c r="M155" s="0">
        <v>0</v>
      </c>
      <c r="N155" s="0" t="b">
        <v>0</v>
      </c>
      <c r="O155" s="2">
        <v>44613.583333333336</v>
      </c>
      <c r="P155" s="2">
        <v>44613.625</v>
      </c>
      <c r="Q155" s="2">
        <v>44613.208333333336</v>
      </c>
      <c r="R155" s="2">
        <v>44613.25</v>
      </c>
      <c r="S155" s="0">
        <v>60</v>
      </c>
      <c r="T155" s="0">
        <v>12</v>
      </c>
      <c r="U155" s="0">
        <v>39</v>
      </c>
      <c r="V155" s="0">
        <v>134</v>
      </c>
      <c r="W155" s="1">
        <f>=HYPERLINK("10.175.1.14\MWEB.12\SEP\EntityDetails.10.175.1.14.MWEB.12.-online-bank.134.xlsx", "&lt;Detail&gt;")</f>
      </c>
      <c r="X155" s="1">
        <f>=HYPERLINK("10.175.1.14\MWEB.12\SEP\MetricGraphs.SEP.10.175.1.14.MWEB.12.xlsx", "&lt;Metrics&gt;")</f>
      </c>
      <c r="Y155" s="0" t="s">
        <v>107</v>
      </c>
      <c r="Z155" s="0" t="s">
        <v>108</v>
      </c>
      <c r="AA155" s="0" t="s">
        <v>128</v>
      </c>
      <c r="AB155" s="0" t="s">
        <v>778</v>
      </c>
      <c r="AC155" s="0" t="s">
        <v>109</v>
      </c>
    </row>
    <row r="156">
      <c r="A156" s="0" t="s">
        <v>28</v>
      </c>
      <c r="B156" s="0" t="s">
        <v>30</v>
      </c>
      <c r="C156" s="0" t="s">
        <v>127</v>
      </c>
      <c r="D156" s="0" t="s">
        <v>490</v>
      </c>
      <c r="E156" s="0" t="s">
        <v>229</v>
      </c>
      <c r="F156" s="0">
        <v>0</v>
      </c>
      <c r="G156" s="0" t="s">
        <v>106</v>
      </c>
      <c r="H156" s="0">
        <v>0</v>
      </c>
      <c r="I156" s="0">
        <v>0</v>
      </c>
      <c r="J156" s="0">
        <v>0</v>
      </c>
      <c r="K156" s="0">
        <v>0</v>
      </c>
      <c r="L156" s="0">
        <v>0</v>
      </c>
      <c r="M156" s="0">
        <v>0</v>
      </c>
      <c r="N156" s="0" t="b">
        <v>0</v>
      </c>
      <c r="O156" s="2">
        <v>44613.583333333336</v>
      </c>
      <c r="P156" s="2">
        <v>44613.625</v>
      </c>
      <c r="Q156" s="2">
        <v>44613.208333333336</v>
      </c>
      <c r="R156" s="2">
        <v>44613.25</v>
      </c>
      <c r="S156" s="0">
        <v>60</v>
      </c>
      <c r="T156" s="0">
        <v>12</v>
      </c>
      <c r="U156" s="0">
        <v>39</v>
      </c>
      <c r="V156" s="0">
        <v>133</v>
      </c>
      <c r="W156" s="1">
        <f>=HYPERLINK("10.175.1.14\MWEB.12\SEP\EntityDetails.10.175.1.14.MWEB.12.-online-bank.133.xlsx", "&lt;Detail&gt;")</f>
      </c>
      <c r="X156" s="1">
        <f>=HYPERLINK("10.175.1.14\MWEB.12\SEP\MetricGraphs.SEP.10.175.1.14.MWEB.12.xlsx", "&lt;Metrics&gt;")</f>
      </c>
      <c r="Y156" s="0" t="s">
        <v>107</v>
      </c>
      <c r="Z156" s="0" t="s">
        <v>108</v>
      </c>
      <c r="AA156" s="0" t="s">
        <v>128</v>
      </c>
      <c r="AB156" s="0" t="s">
        <v>779</v>
      </c>
      <c r="AC156" s="0" t="s">
        <v>109</v>
      </c>
    </row>
    <row r="157">
      <c r="A157" s="0" t="s">
        <v>28</v>
      </c>
      <c r="B157" s="0" t="s">
        <v>30</v>
      </c>
      <c r="C157" s="0" t="s">
        <v>127</v>
      </c>
      <c r="D157" s="0" t="s">
        <v>492</v>
      </c>
      <c r="E157" s="0" t="s">
        <v>229</v>
      </c>
      <c r="F157" s="0">
        <v>0</v>
      </c>
      <c r="G157" s="0" t="s">
        <v>106</v>
      </c>
      <c r="H157" s="0">
        <v>0</v>
      </c>
      <c r="I157" s="0">
        <v>0</v>
      </c>
      <c r="J157" s="0">
        <v>0</v>
      </c>
      <c r="K157" s="0">
        <v>0</v>
      </c>
      <c r="L157" s="0">
        <v>0</v>
      </c>
      <c r="M157" s="0">
        <v>0</v>
      </c>
      <c r="N157" s="0" t="b">
        <v>0</v>
      </c>
      <c r="O157" s="2">
        <v>44613.583333333336</v>
      </c>
      <c r="P157" s="2">
        <v>44613.625</v>
      </c>
      <c r="Q157" s="2">
        <v>44613.208333333336</v>
      </c>
      <c r="R157" s="2">
        <v>44613.25</v>
      </c>
      <c r="S157" s="0">
        <v>60</v>
      </c>
      <c r="T157" s="0">
        <v>12</v>
      </c>
      <c r="U157" s="0">
        <v>39</v>
      </c>
      <c r="V157" s="0">
        <v>152</v>
      </c>
      <c r="W157" s="1">
        <f>=HYPERLINK("10.175.1.14\MWEB.12\SEP\EntityDetails.10.175.1.14.MWEB.12.-online-bank.152.xlsx", "&lt;Detail&gt;")</f>
      </c>
      <c r="X157" s="1">
        <f>=HYPERLINK("10.175.1.14\MWEB.12\SEP\MetricGraphs.SEP.10.175.1.14.MWEB.12.xlsx", "&lt;Metrics&gt;")</f>
      </c>
      <c r="Y157" s="0" t="s">
        <v>107</v>
      </c>
      <c r="Z157" s="0" t="s">
        <v>108</v>
      </c>
      <c r="AA157" s="0" t="s">
        <v>128</v>
      </c>
      <c r="AB157" s="0" t="s">
        <v>780</v>
      </c>
      <c r="AC157" s="0" t="s">
        <v>109</v>
      </c>
    </row>
    <row r="158">
      <c r="A158" s="0" t="s">
        <v>28</v>
      </c>
      <c r="B158" s="0" t="s">
        <v>30</v>
      </c>
      <c r="C158" s="0" t="s">
        <v>127</v>
      </c>
      <c r="D158" s="0" t="s">
        <v>494</v>
      </c>
      <c r="E158" s="0" t="s">
        <v>229</v>
      </c>
      <c r="F158" s="0">
        <v>0</v>
      </c>
      <c r="G158" s="0" t="s">
        <v>106</v>
      </c>
      <c r="H158" s="0">
        <v>0</v>
      </c>
      <c r="I158" s="0">
        <v>0</v>
      </c>
      <c r="J158" s="0">
        <v>0</v>
      </c>
      <c r="K158" s="0">
        <v>0</v>
      </c>
      <c r="L158" s="0">
        <v>0</v>
      </c>
      <c r="M158" s="0">
        <v>0</v>
      </c>
      <c r="N158" s="0" t="b">
        <v>0</v>
      </c>
      <c r="O158" s="2">
        <v>44613.583333333336</v>
      </c>
      <c r="P158" s="2">
        <v>44613.625</v>
      </c>
      <c r="Q158" s="2">
        <v>44613.208333333336</v>
      </c>
      <c r="R158" s="2">
        <v>44613.25</v>
      </c>
      <c r="S158" s="0">
        <v>60</v>
      </c>
      <c r="T158" s="0">
        <v>12</v>
      </c>
      <c r="U158" s="0">
        <v>39</v>
      </c>
      <c r="V158" s="0">
        <v>145</v>
      </c>
      <c r="W158" s="1">
        <f>=HYPERLINK("10.175.1.14\MWEB.12\SEP\EntityDetails.10.175.1.14.MWEB.12.-online-bank.145.xlsx", "&lt;Detail&gt;")</f>
      </c>
      <c r="X158" s="1">
        <f>=HYPERLINK("10.175.1.14\MWEB.12\SEP\MetricGraphs.SEP.10.175.1.14.MWEB.12.xlsx", "&lt;Metrics&gt;")</f>
      </c>
      <c r="Y158" s="0" t="s">
        <v>107</v>
      </c>
      <c r="Z158" s="0" t="s">
        <v>108</v>
      </c>
      <c r="AA158" s="0" t="s">
        <v>128</v>
      </c>
      <c r="AB158" s="0" t="s">
        <v>781</v>
      </c>
      <c r="AC158" s="0" t="s">
        <v>109</v>
      </c>
    </row>
    <row r="159">
      <c r="A159" s="0" t="s">
        <v>28</v>
      </c>
      <c r="B159" s="0" t="s">
        <v>30</v>
      </c>
      <c r="C159" s="0" t="s">
        <v>127</v>
      </c>
      <c r="D159" s="0" t="s">
        <v>782</v>
      </c>
      <c r="E159" s="0" t="s">
        <v>229</v>
      </c>
      <c r="F159" s="0">
        <v>0</v>
      </c>
      <c r="G159" s="0" t="s">
        <v>106</v>
      </c>
      <c r="H159" s="0">
        <v>0</v>
      </c>
      <c r="I159" s="0">
        <v>0</v>
      </c>
      <c r="J159" s="0">
        <v>0</v>
      </c>
      <c r="K159" s="0">
        <v>0</v>
      </c>
      <c r="L159" s="0">
        <v>0</v>
      </c>
      <c r="M159" s="0">
        <v>0</v>
      </c>
      <c r="N159" s="0" t="b">
        <v>0</v>
      </c>
      <c r="O159" s="2">
        <v>44613.583333333336</v>
      </c>
      <c r="P159" s="2">
        <v>44613.625</v>
      </c>
      <c r="Q159" s="2">
        <v>44613.208333333336</v>
      </c>
      <c r="R159" s="2">
        <v>44613.25</v>
      </c>
      <c r="S159" s="0">
        <v>60</v>
      </c>
      <c r="T159" s="0">
        <v>12</v>
      </c>
      <c r="U159" s="0">
        <v>39</v>
      </c>
      <c r="V159" s="0">
        <v>144</v>
      </c>
      <c r="W159" s="1">
        <f>=HYPERLINK("10.175.1.14\MWEB.12\SEP\EntityDetails.10.175.1.14.MWEB.12.-online-bank.144.xlsx", "&lt;Detail&gt;")</f>
      </c>
      <c r="X159" s="1">
        <f>=HYPERLINK("10.175.1.14\MWEB.12\SEP\MetricGraphs.SEP.10.175.1.14.MWEB.12.xlsx", "&lt;Metrics&gt;")</f>
      </c>
      <c r="Y159" s="0" t="s">
        <v>107</v>
      </c>
      <c r="Z159" s="0" t="s">
        <v>108</v>
      </c>
      <c r="AA159" s="0" t="s">
        <v>128</v>
      </c>
      <c r="AB159" s="0" t="s">
        <v>783</v>
      </c>
      <c r="AC159" s="0" t="s">
        <v>109</v>
      </c>
    </row>
    <row r="160">
      <c r="A160" s="0" t="s">
        <v>28</v>
      </c>
      <c r="B160" s="0" t="s">
        <v>30</v>
      </c>
      <c r="C160" s="0" t="s">
        <v>127</v>
      </c>
      <c r="D160" s="0" t="s">
        <v>496</v>
      </c>
      <c r="E160" s="0" t="s">
        <v>229</v>
      </c>
      <c r="F160" s="0">
        <v>0</v>
      </c>
      <c r="G160" s="0" t="s">
        <v>106</v>
      </c>
      <c r="H160" s="0">
        <v>0</v>
      </c>
      <c r="I160" s="0">
        <v>0</v>
      </c>
      <c r="J160" s="0">
        <v>0</v>
      </c>
      <c r="K160" s="0">
        <v>0</v>
      </c>
      <c r="L160" s="0">
        <v>0</v>
      </c>
      <c r="M160" s="0">
        <v>0</v>
      </c>
      <c r="N160" s="0" t="b">
        <v>0</v>
      </c>
      <c r="O160" s="2">
        <v>44613.583333333336</v>
      </c>
      <c r="P160" s="2">
        <v>44613.625</v>
      </c>
      <c r="Q160" s="2">
        <v>44613.208333333336</v>
      </c>
      <c r="R160" s="2">
        <v>44613.25</v>
      </c>
      <c r="S160" s="0">
        <v>60</v>
      </c>
      <c r="T160" s="0">
        <v>12</v>
      </c>
      <c r="U160" s="0">
        <v>39</v>
      </c>
      <c r="V160" s="0">
        <v>130</v>
      </c>
      <c r="W160" s="1">
        <f>=HYPERLINK("10.175.1.14\MWEB.12\SEP\EntityDetails.10.175.1.14.MWEB.12.-online-bran.130.xlsx", "&lt;Detail&gt;")</f>
      </c>
      <c r="X160" s="1">
        <f>=HYPERLINK("10.175.1.14\MWEB.12\SEP\MetricGraphs.SEP.10.175.1.14.MWEB.12.xlsx", "&lt;Metrics&gt;")</f>
      </c>
      <c r="Y160" s="0" t="s">
        <v>107</v>
      </c>
      <c r="Z160" s="0" t="s">
        <v>108</v>
      </c>
      <c r="AA160" s="0" t="s">
        <v>128</v>
      </c>
      <c r="AB160" s="0" t="s">
        <v>784</v>
      </c>
      <c r="AC160" s="0" t="s">
        <v>109</v>
      </c>
    </row>
    <row r="161">
      <c r="A161" s="0" t="s">
        <v>28</v>
      </c>
      <c r="B161" s="0" t="s">
        <v>30</v>
      </c>
      <c r="C161" s="0" t="s">
        <v>127</v>
      </c>
      <c r="D161" s="0" t="s">
        <v>785</v>
      </c>
      <c r="E161" s="0" t="s">
        <v>229</v>
      </c>
      <c r="F161" s="0">
        <v>0</v>
      </c>
      <c r="G161" s="0" t="s">
        <v>106</v>
      </c>
      <c r="H161" s="0">
        <v>0</v>
      </c>
      <c r="I161" s="0">
        <v>0</v>
      </c>
      <c r="J161" s="0">
        <v>0</v>
      </c>
      <c r="K161" s="0">
        <v>0</v>
      </c>
      <c r="L161" s="0">
        <v>0</v>
      </c>
      <c r="M161" s="0">
        <v>0</v>
      </c>
      <c r="N161" s="0" t="b">
        <v>0</v>
      </c>
      <c r="O161" s="2">
        <v>44613.583333333336</v>
      </c>
      <c r="P161" s="2">
        <v>44613.625</v>
      </c>
      <c r="Q161" s="2">
        <v>44613.208333333336</v>
      </c>
      <c r="R161" s="2">
        <v>44613.25</v>
      </c>
      <c r="S161" s="0">
        <v>60</v>
      </c>
      <c r="T161" s="0">
        <v>12</v>
      </c>
      <c r="U161" s="0">
        <v>39</v>
      </c>
      <c r="V161" s="0">
        <v>1947</v>
      </c>
      <c r="W161" s="1">
        <f>=HYPERLINK("10.175.1.14\MWEB.12\SEP\EntityDetails.10.175.1.14.MWEB.12.-online-cont.1947.xlsx", "&lt;Detail&gt;")</f>
      </c>
      <c r="X161" s="1">
        <f>=HYPERLINK("10.175.1.14\MWEB.12\SEP\MetricGraphs.SEP.10.175.1.14.MWEB.12.xlsx", "&lt;Metrics&gt;")</f>
      </c>
      <c r="Y161" s="0" t="s">
        <v>107</v>
      </c>
      <c r="Z161" s="0" t="s">
        <v>108</v>
      </c>
      <c r="AA161" s="0" t="s">
        <v>128</v>
      </c>
      <c r="AB161" s="0" t="s">
        <v>786</v>
      </c>
      <c r="AC161" s="0" t="s">
        <v>109</v>
      </c>
    </row>
    <row r="162">
      <c r="A162" s="0" t="s">
        <v>28</v>
      </c>
      <c r="B162" s="0" t="s">
        <v>30</v>
      </c>
      <c r="C162" s="0" t="s">
        <v>127</v>
      </c>
      <c r="D162" s="0" t="s">
        <v>498</v>
      </c>
      <c r="E162" s="0" t="s">
        <v>229</v>
      </c>
      <c r="F162" s="0">
        <v>0</v>
      </c>
      <c r="G162" s="0" t="s">
        <v>106</v>
      </c>
      <c r="H162" s="0">
        <v>0</v>
      </c>
      <c r="I162" s="0">
        <v>0</v>
      </c>
      <c r="J162" s="0">
        <v>0</v>
      </c>
      <c r="K162" s="0">
        <v>0</v>
      </c>
      <c r="L162" s="0">
        <v>0</v>
      </c>
      <c r="M162" s="0">
        <v>0</v>
      </c>
      <c r="N162" s="0" t="b">
        <v>0</v>
      </c>
      <c r="O162" s="2">
        <v>44613.583333333336</v>
      </c>
      <c r="P162" s="2">
        <v>44613.625</v>
      </c>
      <c r="Q162" s="2">
        <v>44613.208333333336</v>
      </c>
      <c r="R162" s="2">
        <v>44613.25</v>
      </c>
      <c r="S162" s="0">
        <v>60</v>
      </c>
      <c r="T162" s="0">
        <v>12</v>
      </c>
      <c r="U162" s="0">
        <v>39</v>
      </c>
      <c r="V162" s="0">
        <v>111</v>
      </c>
      <c r="W162" s="1">
        <f>=HYPERLINK("10.175.1.14\MWEB.12\SEP\EntityDetails.10.175.1.14.MWEB.12.-online-entr.111.xlsx", "&lt;Detail&gt;")</f>
      </c>
      <c r="X162" s="1">
        <f>=HYPERLINK("10.175.1.14\MWEB.12\SEP\MetricGraphs.SEP.10.175.1.14.MWEB.12.xlsx", "&lt;Metrics&gt;")</f>
      </c>
      <c r="Y162" s="0" t="s">
        <v>107</v>
      </c>
      <c r="Z162" s="0" t="s">
        <v>108</v>
      </c>
      <c r="AA162" s="0" t="s">
        <v>128</v>
      </c>
      <c r="AB162" s="0" t="s">
        <v>787</v>
      </c>
      <c r="AC162" s="0" t="s">
        <v>109</v>
      </c>
    </row>
    <row r="163">
      <c r="A163" s="0" t="s">
        <v>28</v>
      </c>
      <c r="B163" s="0" t="s">
        <v>30</v>
      </c>
      <c r="C163" s="0" t="s">
        <v>127</v>
      </c>
      <c r="D163" s="0" t="s">
        <v>500</v>
      </c>
      <c r="E163" s="0" t="s">
        <v>229</v>
      </c>
      <c r="F163" s="0">
        <v>0</v>
      </c>
      <c r="G163" s="0" t="s">
        <v>106</v>
      </c>
      <c r="H163" s="0">
        <v>0</v>
      </c>
      <c r="I163" s="0">
        <v>0</v>
      </c>
      <c r="J163" s="0">
        <v>0</v>
      </c>
      <c r="K163" s="0">
        <v>0</v>
      </c>
      <c r="L163" s="0">
        <v>0</v>
      </c>
      <c r="M163" s="0">
        <v>0</v>
      </c>
      <c r="N163" s="0" t="b">
        <v>0</v>
      </c>
      <c r="O163" s="2">
        <v>44613.583333333336</v>
      </c>
      <c r="P163" s="2">
        <v>44613.625</v>
      </c>
      <c r="Q163" s="2">
        <v>44613.208333333336</v>
      </c>
      <c r="R163" s="2">
        <v>44613.25</v>
      </c>
      <c r="S163" s="0">
        <v>60</v>
      </c>
      <c r="T163" s="0">
        <v>12</v>
      </c>
      <c r="U163" s="0">
        <v>39</v>
      </c>
      <c r="V163" s="0">
        <v>121</v>
      </c>
      <c r="W163" s="1">
        <f>=HYPERLINK("10.175.1.14\MWEB.12\SEP\EntityDetails.10.175.1.14.MWEB.12.-online-erro.121.xlsx", "&lt;Detail&gt;")</f>
      </c>
      <c r="X163" s="1">
        <f>=HYPERLINK("10.175.1.14\MWEB.12\SEP\MetricGraphs.SEP.10.175.1.14.MWEB.12.xlsx", "&lt;Metrics&gt;")</f>
      </c>
      <c r="Y163" s="0" t="s">
        <v>107</v>
      </c>
      <c r="Z163" s="0" t="s">
        <v>108</v>
      </c>
      <c r="AA163" s="0" t="s">
        <v>128</v>
      </c>
      <c r="AB163" s="0" t="s">
        <v>788</v>
      </c>
      <c r="AC163" s="0" t="s">
        <v>109</v>
      </c>
    </row>
    <row r="164">
      <c r="A164" s="0" t="s">
        <v>28</v>
      </c>
      <c r="B164" s="0" t="s">
        <v>30</v>
      </c>
      <c r="C164" s="0" t="s">
        <v>127</v>
      </c>
      <c r="D164" s="0" t="s">
        <v>502</v>
      </c>
      <c r="E164" s="0" t="s">
        <v>229</v>
      </c>
      <c r="F164" s="0">
        <v>0</v>
      </c>
      <c r="G164" s="0" t="s">
        <v>106</v>
      </c>
      <c r="H164" s="0">
        <v>0</v>
      </c>
      <c r="I164" s="0">
        <v>0</v>
      </c>
      <c r="J164" s="0">
        <v>0</v>
      </c>
      <c r="K164" s="0">
        <v>0</v>
      </c>
      <c r="L164" s="0">
        <v>0</v>
      </c>
      <c r="M164" s="0">
        <v>0</v>
      </c>
      <c r="N164" s="0" t="b">
        <v>0</v>
      </c>
      <c r="O164" s="2">
        <v>44613.583333333336</v>
      </c>
      <c r="P164" s="2">
        <v>44613.625</v>
      </c>
      <c r="Q164" s="2">
        <v>44613.208333333336</v>
      </c>
      <c r="R164" s="2">
        <v>44613.25</v>
      </c>
      <c r="S164" s="0">
        <v>60</v>
      </c>
      <c r="T164" s="0">
        <v>12</v>
      </c>
      <c r="U164" s="0">
        <v>39</v>
      </c>
      <c r="V164" s="0">
        <v>92</v>
      </c>
      <c r="W164" s="1">
        <f>=HYPERLINK("10.175.1.14\MWEB.12\SEP\EntityDetails.10.175.1.14.MWEB.12.-online-inqu.92.xlsx", "&lt;Detail&gt;")</f>
      </c>
      <c r="X164" s="1">
        <f>=HYPERLINK("10.175.1.14\MWEB.12\SEP\MetricGraphs.SEP.10.175.1.14.MWEB.12.xlsx", "&lt;Metrics&gt;")</f>
      </c>
      <c r="Y164" s="0" t="s">
        <v>107</v>
      </c>
      <c r="Z164" s="0" t="s">
        <v>108</v>
      </c>
      <c r="AA164" s="0" t="s">
        <v>128</v>
      </c>
      <c r="AB164" s="0" t="s">
        <v>789</v>
      </c>
      <c r="AC164" s="0" t="s">
        <v>109</v>
      </c>
    </row>
    <row r="165">
      <c r="A165" s="0" t="s">
        <v>28</v>
      </c>
      <c r="B165" s="0" t="s">
        <v>30</v>
      </c>
      <c r="C165" s="0" t="s">
        <v>127</v>
      </c>
      <c r="D165" s="0" t="s">
        <v>790</v>
      </c>
      <c r="E165" s="0" t="s">
        <v>229</v>
      </c>
      <c r="F165" s="0">
        <v>0</v>
      </c>
      <c r="G165" s="0" t="s">
        <v>106</v>
      </c>
      <c r="H165" s="0">
        <v>0</v>
      </c>
      <c r="I165" s="0">
        <v>0</v>
      </c>
      <c r="J165" s="0">
        <v>0</v>
      </c>
      <c r="K165" s="0">
        <v>0</v>
      </c>
      <c r="L165" s="0">
        <v>0</v>
      </c>
      <c r="M165" s="0">
        <v>0</v>
      </c>
      <c r="N165" s="0" t="b">
        <v>0</v>
      </c>
      <c r="O165" s="2">
        <v>44613.583333333336</v>
      </c>
      <c r="P165" s="2">
        <v>44613.625</v>
      </c>
      <c r="Q165" s="2">
        <v>44613.208333333336</v>
      </c>
      <c r="R165" s="2">
        <v>44613.25</v>
      </c>
      <c r="S165" s="0">
        <v>60</v>
      </c>
      <c r="T165" s="0">
        <v>12</v>
      </c>
      <c r="U165" s="0">
        <v>39</v>
      </c>
      <c r="V165" s="0">
        <v>1948</v>
      </c>
      <c r="W165" s="1">
        <f>=HYPERLINK("10.175.1.14\MWEB.12\SEP\EntityDetails.10.175.1.14.MWEB.12.-online-seam.1948.xlsx", "&lt;Detail&gt;")</f>
      </c>
      <c r="X165" s="1">
        <f>=HYPERLINK("10.175.1.14\MWEB.12\SEP\MetricGraphs.SEP.10.175.1.14.MWEB.12.xlsx", "&lt;Metrics&gt;")</f>
      </c>
      <c r="Y165" s="0" t="s">
        <v>107</v>
      </c>
      <c r="Z165" s="0" t="s">
        <v>108</v>
      </c>
      <c r="AA165" s="0" t="s">
        <v>128</v>
      </c>
      <c r="AB165" s="0" t="s">
        <v>791</v>
      </c>
      <c r="AC165" s="0" t="s">
        <v>109</v>
      </c>
    </row>
    <row r="166">
      <c r="A166" s="0" t="s">
        <v>28</v>
      </c>
      <c r="B166" s="0" t="s">
        <v>30</v>
      </c>
      <c r="C166" s="0" t="s">
        <v>127</v>
      </c>
      <c r="D166" s="0" t="s">
        <v>504</v>
      </c>
      <c r="E166" s="0" t="s">
        <v>229</v>
      </c>
      <c r="F166" s="0">
        <v>0</v>
      </c>
      <c r="G166" s="0" t="s">
        <v>106</v>
      </c>
      <c r="H166" s="0">
        <v>0</v>
      </c>
      <c r="I166" s="0">
        <v>0</v>
      </c>
      <c r="J166" s="0">
        <v>0</v>
      </c>
      <c r="K166" s="0">
        <v>0</v>
      </c>
      <c r="L166" s="0">
        <v>0</v>
      </c>
      <c r="M166" s="0">
        <v>0</v>
      </c>
      <c r="N166" s="0" t="b">
        <v>0</v>
      </c>
      <c r="O166" s="2">
        <v>44613.583333333336</v>
      </c>
      <c r="P166" s="2">
        <v>44613.625</v>
      </c>
      <c r="Q166" s="2">
        <v>44613.208333333336</v>
      </c>
      <c r="R166" s="2">
        <v>44613.25</v>
      </c>
      <c r="S166" s="0">
        <v>60</v>
      </c>
      <c r="T166" s="0">
        <v>12</v>
      </c>
      <c r="U166" s="0">
        <v>39</v>
      </c>
      <c r="V166" s="0">
        <v>221</v>
      </c>
      <c r="W166" s="1">
        <f>=HYPERLINK("10.175.1.14\MWEB.12\SEP\EntityDetails.10.175.1.14.MWEB.12.-online-test.221.xlsx", "&lt;Detail&gt;")</f>
      </c>
      <c r="X166" s="1">
        <f>=HYPERLINK("10.175.1.14\MWEB.12\SEP\MetricGraphs.SEP.10.175.1.14.MWEB.12.xlsx", "&lt;Metrics&gt;")</f>
      </c>
      <c r="Y166" s="0" t="s">
        <v>107</v>
      </c>
      <c r="Z166" s="0" t="s">
        <v>108</v>
      </c>
      <c r="AA166" s="0" t="s">
        <v>128</v>
      </c>
      <c r="AB166" s="0" t="s">
        <v>792</v>
      </c>
      <c r="AC166" s="0" t="s">
        <v>109</v>
      </c>
    </row>
    <row r="167">
      <c r="A167" s="0" t="s">
        <v>28</v>
      </c>
      <c r="B167" s="0" t="s">
        <v>30</v>
      </c>
      <c r="C167" s="0" t="s">
        <v>127</v>
      </c>
      <c r="D167" s="0" t="s">
        <v>793</v>
      </c>
      <c r="E167" s="0" t="s">
        <v>229</v>
      </c>
      <c r="F167" s="0">
        <v>0</v>
      </c>
      <c r="G167" s="0" t="s">
        <v>106</v>
      </c>
      <c r="H167" s="0">
        <v>0</v>
      </c>
      <c r="I167" s="0">
        <v>0</v>
      </c>
      <c r="J167" s="0">
        <v>0</v>
      </c>
      <c r="K167" s="0">
        <v>0</v>
      </c>
      <c r="L167" s="0">
        <v>0</v>
      </c>
      <c r="M167" s="0">
        <v>0</v>
      </c>
      <c r="N167" s="0" t="b">
        <v>0</v>
      </c>
      <c r="O167" s="2">
        <v>44613.583333333336</v>
      </c>
      <c r="P167" s="2">
        <v>44613.625</v>
      </c>
      <c r="Q167" s="2">
        <v>44613.208333333336</v>
      </c>
      <c r="R167" s="2">
        <v>44613.25</v>
      </c>
      <c r="S167" s="0">
        <v>60</v>
      </c>
      <c r="T167" s="0">
        <v>12</v>
      </c>
      <c r="U167" s="0">
        <v>39</v>
      </c>
      <c r="V167" s="0">
        <v>93</v>
      </c>
      <c r="W167" s="1">
        <f>=HYPERLINK("10.175.1.14\MWEB.12\SEP\EntityDetails.10.175.1.14.MWEB.12.-online-WEB-.93.xlsx", "&lt;Detail&gt;")</f>
      </c>
      <c r="X167" s="1">
        <f>=HYPERLINK("10.175.1.14\MWEB.12\SEP\MetricGraphs.SEP.10.175.1.14.MWEB.12.xlsx", "&lt;Metrics&gt;")</f>
      </c>
      <c r="Y167" s="0" t="s">
        <v>107</v>
      </c>
      <c r="Z167" s="0" t="s">
        <v>108</v>
      </c>
      <c r="AA167" s="0" t="s">
        <v>128</v>
      </c>
      <c r="AB167" s="0" t="s">
        <v>794</v>
      </c>
      <c r="AC167" s="0" t="s">
        <v>109</v>
      </c>
    </row>
    <row r="168">
      <c r="A168" s="0" t="s">
        <v>28</v>
      </c>
      <c r="B168" s="0" t="s">
        <v>30</v>
      </c>
      <c r="C168" s="0" t="s">
        <v>149</v>
      </c>
      <c r="D168" s="0" t="s">
        <v>793</v>
      </c>
      <c r="E168" s="0" t="s">
        <v>229</v>
      </c>
      <c r="F168" s="0">
        <v>0</v>
      </c>
      <c r="G168" s="0" t="s">
        <v>106</v>
      </c>
      <c r="H168" s="0">
        <v>0</v>
      </c>
      <c r="I168" s="0">
        <v>0</v>
      </c>
      <c r="J168" s="0">
        <v>0</v>
      </c>
      <c r="K168" s="0">
        <v>0</v>
      </c>
      <c r="L168" s="0">
        <v>0</v>
      </c>
      <c r="M168" s="0">
        <v>0</v>
      </c>
      <c r="N168" s="0" t="b">
        <v>0</v>
      </c>
      <c r="O168" s="2">
        <v>44613.583333333336</v>
      </c>
      <c r="P168" s="2">
        <v>44613.625</v>
      </c>
      <c r="Q168" s="2">
        <v>44613.208333333336</v>
      </c>
      <c r="R168" s="2">
        <v>44613.25</v>
      </c>
      <c r="S168" s="0">
        <v>60</v>
      </c>
      <c r="T168" s="0">
        <v>12</v>
      </c>
      <c r="U168" s="0">
        <v>50</v>
      </c>
      <c r="V168" s="0">
        <v>2270</v>
      </c>
      <c r="W168" s="1">
        <f>=HYPERLINK("10.175.1.14\MWEB.12\SEP\EntityDetails.10.175.1.14.MWEB.12.-online-WEB-.2270.xlsx", "&lt;Detail&gt;")</f>
      </c>
      <c r="X168" s="1">
        <f>=HYPERLINK("10.175.1.14\MWEB.12\SEP\MetricGraphs.SEP.10.175.1.14.MWEB.12.xlsx", "&lt;Metrics&gt;")</f>
      </c>
      <c r="Y168" s="0" t="s">
        <v>107</v>
      </c>
      <c r="Z168" s="0" t="s">
        <v>108</v>
      </c>
      <c r="AA168" s="0" t="s">
        <v>150</v>
      </c>
      <c r="AB168" s="0" t="s">
        <v>795</v>
      </c>
      <c r="AC168" s="0" t="s">
        <v>109</v>
      </c>
    </row>
    <row r="169">
      <c r="A169" s="0" t="s">
        <v>28</v>
      </c>
      <c r="B169" s="0" t="s">
        <v>30</v>
      </c>
      <c r="C169" s="0" t="s">
        <v>133</v>
      </c>
      <c r="D169" s="0" t="s">
        <v>506</v>
      </c>
      <c r="E169" s="0" t="s">
        <v>229</v>
      </c>
      <c r="F169" s="0">
        <v>0</v>
      </c>
      <c r="G169" s="0" t="s">
        <v>106</v>
      </c>
      <c r="H169" s="0">
        <v>0</v>
      </c>
      <c r="I169" s="0">
        <v>0</v>
      </c>
      <c r="J169" s="0">
        <v>0</v>
      </c>
      <c r="K169" s="0">
        <v>0</v>
      </c>
      <c r="L169" s="0">
        <v>0</v>
      </c>
      <c r="M169" s="0">
        <v>0</v>
      </c>
      <c r="N169" s="0" t="b">
        <v>0</v>
      </c>
      <c r="O169" s="2">
        <v>44613.583333333336</v>
      </c>
      <c r="P169" s="2">
        <v>44613.625</v>
      </c>
      <c r="Q169" s="2">
        <v>44613.208333333336</v>
      </c>
      <c r="R169" s="2">
        <v>44613.25</v>
      </c>
      <c r="S169" s="0">
        <v>60</v>
      </c>
      <c r="T169" s="0">
        <v>12</v>
      </c>
      <c r="U169" s="0">
        <v>36</v>
      </c>
      <c r="V169" s="0">
        <v>659</v>
      </c>
      <c r="W169" s="1">
        <f>=HYPERLINK("10.175.1.14\MWEB.12\SEP\EntityDetails.10.175.1.14.MWEB.12.-remote-arti.659.xlsx", "&lt;Detail&gt;")</f>
      </c>
      <c r="X169" s="1">
        <f>=HYPERLINK("10.175.1.14\MWEB.12\SEP\MetricGraphs.SEP.10.175.1.14.MWEB.12.xlsx", "&lt;Metrics&gt;")</f>
      </c>
      <c r="Y169" s="0" t="s">
        <v>107</v>
      </c>
      <c r="Z169" s="0" t="s">
        <v>108</v>
      </c>
      <c r="AA169" s="0" t="s">
        <v>134</v>
      </c>
      <c r="AB169" s="0" t="s">
        <v>796</v>
      </c>
      <c r="AC169" s="0" t="s">
        <v>109</v>
      </c>
    </row>
    <row r="170">
      <c r="A170" s="0" t="s">
        <v>28</v>
      </c>
      <c r="B170" s="0" t="s">
        <v>30</v>
      </c>
      <c r="C170" s="0" t="s">
        <v>133</v>
      </c>
      <c r="D170" s="0" t="s">
        <v>508</v>
      </c>
      <c r="E170" s="0" t="s">
        <v>229</v>
      </c>
      <c r="F170" s="0">
        <v>0</v>
      </c>
      <c r="G170" s="0" t="s">
        <v>106</v>
      </c>
      <c r="H170" s="0">
        <v>0</v>
      </c>
      <c r="I170" s="0">
        <v>0</v>
      </c>
      <c r="J170" s="0">
        <v>0</v>
      </c>
      <c r="K170" s="0">
        <v>0</v>
      </c>
      <c r="L170" s="0">
        <v>0</v>
      </c>
      <c r="M170" s="0">
        <v>0</v>
      </c>
      <c r="N170" s="0" t="b">
        <v>0</v>
      </c>
      <c r="O170" s="2">
        <v>44613.583333333336</v>
      </c>
      <c r="P170" s="2">
        <v>44613.625</v>
      </c>
      <c r="Q170" s="2">
        <v>44613.208333333336</v>
      </c>
      <c r="R170" s="2">
        <v>44613.25</v>
      </c>
      <c r="S170" s="0">
        <v>60</v>
      </c>
      <c r="T170" s="0">
        <v>12</v>
      </c>
      <c r="U170" s="0">
        <v>36</v>
      </c>
      <c r="V170" s="0">
        <v>669</v>
      </c>
      <c r="W170" s="1">
        <f>=HYPERLINK("10.175.1.14\MWEB.12\SEP\EntityDetails.10.175.1.14.MWEB.12.-remote-arti.669.xlsx", "&lt;Detail&gt;")</f>
      </c>
      <c r="X170" s="1">
        <f>=HYPERLINK("10.175.1.14\MWEB.12\SEP\MetricGraphs.SEP.10.175.1.14.MWEB.12.xlsx", "&lt;Metrics&gt;")</f>
      </c>
      <c r="Y170" s="0" t="s">
        <v>107</v>
      </c>
      <c r="Z170" s="0" t="s">
        <v>108</v>
      </c>
      <c r="AA170" s="0" t="s">
        <v>134</v>
      </c>
      <c r="AB170" s="0" t="s">
        <v>797</v>
      </c>
      <c r="AC170" s="0" t="s">
        <v>109</v>
      </c>
    </row>
    <row r="171">
      <c r="A171" s="0" t="s">
        <v>28</v>
      </c>
      <c r="B171" s="0" t="s">
        <v>30</v>
      </c>
      <c r="C171" s="0" t="s">
        <v>133</v>
      </c>
      <c r="D171" s="0" t="s">
        <v>510</v>
      </c>
      <c r="E171" s="0" t="s">
        <v>229</v>
      </c>
      <c r="F171" s="0">
        <v>0</v>
      </c>
      <c r="G171" s="0" t="s">
        <v>106</v>
      </c>
      <c r="H171" s="0">
        <v>0</v>
      </c>
      <c r="I171" s="0">
        <v>0</v>
      </c>
      <c r="J171" s="0">
        <v>0</v>
      </c>
      <c r="K171" s="0">
        <v>0</v>
      </c>
      <c r="L171" s="0">
        <v>0</v>
      </c>
      <c r="M171" s="0">
        <v>0</v>
      </c>
      <c r="N171" s="0" t="b">
        <v>0</v>
      </c>
      <c r="O171" s="2">
        <v>44613.583333333336</v>
      </c>
      <c r="P171" s="2">
        <v>44613.625</v>
      </c>
      <c r="Q171" s="2">
        <v>44613.208333333336</v>
      </c>
      <c r="R171" s="2">
        <v>44613.25</v>
      </c>
      <c r="S171" s="0">
        <v>60</v>
      </c>
      <c r="T171" s="0">
        <v>12</v>
      </c>
      <c r="U171" s="0">
        <v>36</v>
      </c>
      <c r="V171" s="0">
        <v>668</v>
      </c>
      <c r="W171" s="1">
        <f>=HYPERLINK("10.175.1.14\MWEB.12\SEP\EntityDetails.10.175.1.14.MWEB.12.-remote-back.668.xlsx", "&lt;Detail&gt;")</f>
      </c>
      <c r="X171" s="1">
        <f>=HYPERLINK("10.175.1.14\MWEB.12\SEP\MetricGraphs.SEP.10.175.1.14.MWEB.12.xlsx", "&lt;Metrics&gt;")</f>
      </c>
      <c r="Y171" s="0" t="s">
        <v>107</v>
      </c>
      <c r="Z171" s="0" t="s">
        <v>108</v>
      </c>
      <c r="AA171" s="0" t="s">
        <v>134</v>
      </c>
      <c r="AB171" s="0" t="s">
        <v>798</v>
      </c>
      <c r="AC171" s="0" t="s">
        <v>109</v>
      </c>
    </row>
    <row r="172">
      <c r="A172" s="0" t="s">
        <v>28</v>
      </c>
      <c r="B172" s="0" t="s">
        <v>30</v>
      </c>
      <c r="C172" s="0" t="s">
        <v>133</v>
      </c>
      <c r="D172" s="0" t="s">
        <v>512</v>
      </c>
      <c r="E172" s="0" t="s">
        <v>229</v>
      </c>
      <c r="F172" s="0">
        <v>0</v>
      </c>
      <c r="G172" s="0" t="s">
        <v>106</v>
      </c>
      <c r="H172" s="0">
        <v>0</v>
      </c>
      <c r="I172" s="0">
        <v>0</v>
      </c>
      <c r="J172" s="0">
        <v>0</v>
      </c>
      <c r="K172" s="0">
        <v>0</v>
      </c>
      <c r="L172" s="0">
        <v>0</v>
      </c>
      <c r="M172" s="0">
        <v>0</v>
      </c>
      <c r="N172" s="0" t="b">
        <v>0</v>
      </c>
      <c r="O172" s="2">
        <v>44613.583333333336</v>
      </c>
      <c r="P172" s="2">
        <v>44613.625</v>
      </c>
      <c r="Q172" s="2">
        <v>44613.208333333336</v>
      </c>
      <c r="R172" s="2">
        <v>44613.25</v>
      </c>
      <c r="S172" s="0">
        <v>60</v>
      </c>
      <c r="T172" s="0">
        <v>12</v>
      </c>
      <c r="U172" s="0">
        <v>36</v>
      </c>
      <c r="V172" s="0">
        <v>671</v>
      </c>
      <c r="W172" s="1">
        <f>=HYPERLINK("10.175.1.14\MWEB.12\SEP\EntityDetails.10.175.1.14.MWEB.12.-remote-down.671.xlsx", "&lt;Detail&gt;")</f>
      </c>
      <c r="X172" s="1">
        <f>=HYPERLINK("10.175.1.14\MWEB.12\SEP\MetricGraphs.SEP.10.175.1.14.MWEB.12.xlsx", "&lt;Metrics&gt;")</f>
      </c>
      <c r="Y172" s="0" t="s">
        <v>107</v>
      </c>
      <c r="Z172" s="0" t="s">
        <v>108</v>
      </c>
      <c r="AA172" s="0" t="s">
        <v>134</v>
      </c>
      <c r="AB172" s="0" t="s">
        <v>799</v>
      </c>
      <c r="AC172" s="0" t="s">
        <v>109</v>
      </c>
    </row>
    <row r="173">
      <c r="A173" s="0" t="s">
        <v>28</v>
      </c>
      <c r="B173" s="0" t="s">
        <v>30</v>
      </c>
      <c r="C173" s="0" t="s">
        <v>133</v>
      </c>
      <c r="D173" s="0" t="s">
        <v>514</v>
      </c>
      <c r="E173" s="0" t="s">
        <v>229</v>
      </c>
      <c r="F173" s="0">
        <v>0</v>
      </c>
      <c r="G173" s="0" t="s">
        <v>106</v>
      </c>
      <c r="H173" s="0">
        <v>0</v>
      </c>
      <c r="I173" s="0">
        <v>0</v>
      </c>
      <c r="J173" s="0">
        <v>0</v>
      </c>
      <c r="K173" s="0">
        <v>0</v>
      </c>
      <c r="L173" s="0">
        <v>0</v>
      </c>
      <c r="M173" s="0">
        <v>0</v>
      </c>
      <c r="N173" s="0" t="b">
        <v>0</v>
      </c>
      <c r="O173" s="2">
        <v>44613.583333333336</v>
      </c>
      <c r="P173" s="2">
        <v>44613.625</v>
      </c>
      <c r="Q173" s="2">
        <v>44613.208333333336</v>
      </c>
      <c r="R173" s="2">
        <v>44613.25</v>
      </c>
      <c r="S173" s="0">
        <v>60</v>
      </c>
      <c r="T173" s="0">
        <v>12</v>
      </c>
      <c r="U173" s="0">
        <v>36</v>
      </c>
      <c r="V173" s="0">
        <v>678</v>
      </c>
      <c r="W173" s="1">
        <f>=HYPERLINK("10.175.1.14\MWEB.12\SEP\EntityDetails.10.175.1.14.MWEB.12.-remote-erro.678.xlsx", "&lt;Detail&gt;")</f>
      </c>
      <c r="X173" s="1">
        <f>=HYPERLINK("10.175.1.14\MWEB.12\SEP\MetricGraphs.SEP.10.175.1.14.MWEB.12.xlsx", "&lt;Metrics&gt;")</f>
      </c>
      <c r="Y173" s="0" t="s">
        <v>107</v>
      </c>
      <c r="Z173" s="0" t="s">
        <v>108</v>
      </c>
      <c r="AA173" s="0" t="s">
        <v>134</v>
      </c>
      <c r="AB173" s="0" t="s">
        <v>800</v>
      </c>
      <c r="AC173" s="0" t="s">
        <v>109</v>
      </c>
    </row>
    <row r="174">
      <c r="A174" s="0" t="s">
        <v>28</v>
      </c>
      <c r="B174" s="0" t="s">
        <v>30</v>
      </c>
      <c r="C174" s="0" t="s">
        <v>133</v>
      </c>
      <c r="D174" s="0" t="s">
        <v>516</v>
      </c>
      <c r="E174" s="0" t="s">
        <v>229</v>
      </c>
      <c r="F174" s="0">
        <v>0</v>
      </c>
      <c r="G174" s="0" t="s">
        <v>106</v>
      </c>
      <c r="H174" s="0">
        <v>0</v>
      </c>
      <c r="I174" s="0">
        <v>0</v>
      </c>
      <c r="J174" s="0">
        <v>0</v>
      </c>
      <c r="K174" s="0">
        <v>0</v>
      </c>
      <c r="L174" s="0">
        <v>0</v>
      </c>
      <c r="M174" s="0">
        <v>0</v>
      </c>
      <c r="N174" s="0" t="b">
        <v>0</v>
      </c>
      <c r="O174" s="2">
        <v>44613.583333333336</v>
      </c>
      <c r="P174" s="2">
        <v>44613.625</v>
      </c>
      <c r="Q174" s="2">
        <v>44613.208333333336</v>
      </c>
      <c r="R174" s="2">
        <v>44613.25</v>
      </c>
      <c r="S174" s="0">
        <v>60</v>
      </c>
      <c r="T174" s="0">
        <v>12</v>
      </c>
      <c r="U174" s="0">
        <v>36</v>
      </c>
      <c r="V174" s="0">
        <v>676</v>
      </c>
      <c r="W174" s="1">
        <f>=HYPERLINK("10.175.1.14\MWEB.12\SEP\EntityDetails.10.175.1.14.MWEB.12.-remote-erro.676.xlsx", "&lt;Detail&gt;")</f>
      </c>
      <c r="X174" s="1">
        <f>=HYPERLINK("10.175.1.14\MWEB.12\SEP\MetricGraphs.SEP.10.175.1.14.MWEB.12.xlsx", "&lt;Metrics&gt;")</f>
      </c>
      <c r="Y174" s="0" t="s">
        <v>107</v>
      </c>
      <c r="Z174" s="0" t="s">
        <v>108</v>
      </c>
      <c r="AA174" s="0" t="s">
        <v>134</v>
      </c>
      <c r="AB174" s="0" t="s">
        <v>801</v>
      </c>
      <c r="AC174" s="0" t="s">
        <v>109</v>
      </c>
    </row>
    <row r="175">
      <c r="A175" s="0" t="s">
        <v>28</v>
      </c>
      <c r="B175" s="0" t="s">
        <v>30</v>
      </c>
      <c r="C175" s="0" t="s">
        <v>133</v>
      </c>
      <c r="D175" s="0" t="s">
        <v>518</v>
      </c>
      <c r="E175" s="0" t="s">
        <v>229</v>
      </c>
      <c r="F175" s="0">
        <v>0</v>
      </c>
      <c r="G175" s="0" t="s">
        <v>106</v>
      </c>
      <c r="H175" s="0">
        <v>0</v>
      </c>
      <c r="I175" s="0">
        <v>0</v>
      </c>
      <c r="J175" s="0">
        <v>0</v>
      </c>
      <c r="K175" s="0">
        <v>0</v>
      </c>
      <c r="L175" s="0">
        <v>0</v>
      </c>
      <c r="M175" s="0">
        <v>0</v>
      </c>
      <c r="N175" s="0" t="b">
        <v>0</v>
      </c>
      <c r="O175" s="2">
        <v>44613.583333333336</v>
      </c>
      <c r="P175" s="2">
        <v>44613.625</v>
      </c>
      <c r="Q175" s="2">
        <v>44613.208333333336</v>
      </c>
      <c r="R175" s="2">
        <v>44613.25</v>
      </c>
      <c r="S175" s="0">
        <v>60</v>
      </c>
      <c r="T175" s="0">
        <v>12</v>
      </c>
      <c r="U175" s="0">
        <v>36</v>
      </c>
      <c r="V175" s="0">
        <v>677</v>
      </c>
      <c r="W175" s="1">
        <f>=HYPERLINK("10.175.1.14\MWEB.12\SEP\EntityDetails.10.175.1.14.MWEB.12.-remote-erro.677.xlsx", "&lt;Detail&gt;")</f>
      </c>
      <c r="X175" s="1">
        <f>=HYPERLINK("10.175.1.14\MWEB.12\SEP\MetricGraphs.SEP.10.175.1.14.MWEB.12.xlsx", "&lt;Metrics&gt;")</f>
      </c>
      <c r="Y175" s="0" t="s">
        <v>107</v>
      </c>
      <c r="Z175" s="0" t="s">
        <v>108</v>
      </c>
      <c r="AA175" s="0" t="s">
        <v>134</v>
      </c>
      <c r="AB175" s="0" t="s">
        <v>802</v>
      </c>
      <c r="AC175" s="0" t="s">
        <v>109</v>
      </c>
    </row>
    <row r="176">
      <c r="A176" s="0" t="s">
        <v>28</v>
      </c>
      <c r="B176" s="0" t="s">
        <v>30</v>
      </c>
      <c r="C176" s="0" t="s">
        <v>133</v>
      </c>
      <c r="D176" s="0" t="s">
        <v>520</v>
      </c>
      <c r="E176" s="0" t="s">
        <v>229</v>
      </c>
      <c r="F176" s="0">
        <v>0</v>
      </c>
      <c r="G176" s="0" t="s">
        <v>106</v>
      </c>
      <c r="H176" s="0">
        <v>0</v>
      </c>
      <c r="I176" s="0">
        <v>0</v>
      </c>
      <c r="J176" s="0">
        <v>0</v>
      </c>
      <c r="K176" s="0">
        <v>0</v>
      </c>
      <c r="L176" s="0">
        <v>0</v>
      </c>
      <c r="M176" s="0">
        <v>0</v>
      </c>
      <c r="N176" s="0" t="b">
        <v>0</v>
      </c>
      <c r="O176" s="2">
        <v>44613.583333333336</v>
      </c>
      <c r="P176" s="2">
        <v>44613.625</v>
      </c>
      <c r="Q176" s="2">
        <v>44613.208333333336</v>
      </c>
      <c r="R176" s="2">
        <v>44613.25</v>
      </c>
      <c r="S176" s="0">
        <v>60</v>
      </c>
      <c r="T176" s="0">
        <v>12</v>
      </c>
      <c r="U176" s="0">
        <v>36</v>
      </c>
      <c r="V176" s="0">
        <v>479</v>
      </c>
      <c r="W176" s="1">
        <f>=HYPERLINK("10.175.1.14\MWEB.12\SEP\EntityDetails.10.175.1.14.MWEB.12.-remote-stat.479.xlsx", "&lt;Detail&gt;")</f>
      </c>
      <c r="X176" s="1">
        <f>=HYPERLINK("10.175.1.14\MWEB.12\SEP\MetricGraphs.SEP.10.175.1.14.MWEB.12.xlsx", "&lt;Metrics&gt;")</f>
      </c>
      <c r="Y176" s="0" t="s">
        <v>107</v>
      </c>
      <c r="Z176" s="0" t="s">
        <v>108</v>
      </c>
      <c r="AA176" s="0" t="s">
        <v>134</v>
      </c>
      <c r="AB176" s="0" t="s">
        <v>803</v>
      </c>
      <c r="AC176" s="0" t="s">
        <v>109</v>
      </c>
    </row>
    <row r="177">
      <c r="A177" s="0" t="s">
        <v>28</v>
      </c>
      <c r="B177" s="0" t="s">
        <v>30</v>
      </c>
      <c r="C177" s="0" t="s">
        <v>133</v>
      </c>
      <c r="D177" s="0" t="s">
        <v>522</v>
      </c>
      <c r="E177" s="0" t="s">
        <v>229</v>
      </c>
      <c r="F177" s="0">
        <v>0</v>
      </c>
      <c r="G177" s="0" t="s">
        <v>106</v>
      </c>
      <c r="H177" s="0">
        <v>0</v>
      </c>
      <c r="I177" s="0">
        <v>0</v>
      </c>
      <c r="J177" s="0">
        <v>0</v>
      </c>
      <c r="K177" s="0">
        <v>0</v>
      </c>
      <c r="L177" s="0">
        <v>0</v>
      </c>
      <c r="M177" s="0">
        <v>0</v>
      </c>
      <c r="N177" s="0" t="b">
        <v>0</v>
      </c>
      <c r="O177" s="2">
        <v>44613.583333333336</v>
      </c>
      <c r="P177" s="2">
        <v>44613.625</v>
      </c>
      <c r="Q177" s="2">
        <v>44613.208333333336</v>
      </c>
      <c r="R177" s="2">
        <v>44613.25</v>
      </c>
      <c r="S177" s="0">
        <v>60</v>
      </c>
      <c r="T177" s="0">
        <v>12</v>
      </c>
      <c r="U177" s="0">
        <v>36</v>
      </c>
      <c r="V177" s="0">
        <v>672</v>
      </c>
      <c r="W177" s="1">
        <f>=HYPERLINK("10.175.1.14\MWEB.12\SEP\EntityDetails.10.175.1.14.MWEB.12.-remote-uplo.672.xlsx", "&lt;Detail&gt;")</f>
      </c>
      <c r="X177" s="1">
        <f>=HYPERLINK("10.175.1.14\MWEB.12\SEP\MetricGraphs.SEP.10.175.1.14.MWEB.12.xlsx", "&lt;Metrics&gt;")</f>
      </c>
      <c r="Y177" s="0" t="s">
        <v>107</v>
      </c>
      <c r="Z177" s="0" t="s">
        <v>108</v>
      </c>
      <c r="AA177" s="0" t="s">
        <v>134</v>
      </c>
      <c r="AB177" s="0" t="s">
        <v>804</v>
      </c>
      <c r="AC177" s="0" t="s">
        <v>109</v>
      </c>
    </row>
    <row r="178">
      <c r="A178" s="0" t="s">
        <v>28</v>
      </c>
      <c r="B178" s="0" t="s">
        <v>30</v>
      </c>
      <c r="C178" s="0" t="s">
        <v>125</v>
      </c>
      <c r="D178" s="0" t="s">
        <v>805</v>
      </c>
      <c r="E178" s="0" t="s">
        <v>229</v>
      </c>
      <c r="F178" s="0">
        <v>0</v>
      </c>
      <c r="G178" s="0" t="s">
        <v>106</v>
      </c>
      <c r="H178" s="0">
        <v>0</v>
      </c>
      <c r="I178" s="0">
        <v>0</v>
      </c>
      <c r="J178" s="0">
        <v>0</v>
      </c>
      <c r="K178" s="0">
        <v>0</v>
      </c>
      <c r="L178" s="0">
        <v>0</v>
      </c>
      <c r="M178" s="0">
        <v>0</v>
      </c>
      <c r="N178" s="0" t="b">
        <v>0</v>
      </c>
      <c r="O178" s="2">
        <v>44613.583333333336</v>
      </c>
      <c r="P178" s="2">
        <v>44613.625</v>
      </c>
      <c r="Q178" s="2">
        <v>44613.208333333336</v>
      </c>
      <c r="R178" s="2">
        <v>44613.25</v>
      </c>
      <c r="S178" s="0">
        <v>60</v>
      </c>
      <c r="T178" s="0">
        <v>12</v>
      </c>
      <c r="U178" s="0">
        <v>42</v>
      </c>
      <c r="V178" s="0">
        <v>1189</v>
      </c>
      <c r="W178" s="1">
        <f>=HYPERLINK("10.175.1.14\MWEB.12\SEP\EntityDetails.10.175.1.14.MWEB.12.-reporter-cl.1189.xlsx", "&lt;Detail&gt;")</f>
      </c>
      <c r="X178" s="1">
        <f>=HYPERLINK("10.175.1.14\MWEB.12\SEP\MetricGraphs.SEP.10.175.1.14.MWEB.12.xlsx", "&lt;Metrics&gt;")</f>
      </c>
      <c r="Y178" s="0" t="s">
        <v>107</v>
      </c>
      <c r="Z178" s="0" t="s">
        <v>108</v>
      </c>
      <c r="AA178" s="0" t="s">
        <v>126</v>
      </c>
      <c r="AB178" s="0" t="s">
        <v>806</v>
      </c>
      <c r="AC178" s="0" t="s">
        <v>109</v>
      </c>
    </row>
    <row r="179">
      <c r="A179" s="0" t="s">
        <v>28</v>
      </c>
      <c r="B179" s="0" t="s">
        <v>30</v>
      </c>
      <c r="C179" s="0" t="s">
        <v>127</v>
      </c>
      <c r="D179" s="0" t="s">
        <v>805</v>
      </c>
      <c r="E179" s="0" t="s">
        <v>229</v>
      </c>
      <c r="F179" s="0">
        <v>0</v>
      </c>
      <c r="G179" s="0" t="s">
        <v>106</v>
      </c>
      <c r="H179" s="0">
        <v>0</v>
      </c>
      <c r="I179" s="0">
        <v>0</v>
      </c>
      <c r="J179" s="0">
        <v>0</v>
      </c>
      <c r="K179" s="0">
        <v>0</v>
      </c>
      <c r="L179" s="0">
        <v>0</v>
      </c>
      <c r="M179" s="0">
        <v>0</v>
      </c>
      <c r="N179" s="0" t="b">
        <v>0</v>
      </c>
      <c r="O179" s="2">
        <v>44613.583333333336</v>
      </c>
      <c r="P179" s="2">
        <v>44613.625</v>
      </c>
      <c r="Q179" s="2">
        <v>44613.208333333336</v>
      </c>
      <c r="R179" s="2">
        <v>44613.25</v>
      </c>
      <c r="S179" s="0">
        <v>60</v>
      </c>
      <c r="T179" s="0">
        <v>12</v>
      </c>
      <c r="U179" s="0">
        <v>39</v>
      </c>
      <c r="V179" s="0">
        <v>1204</v>
      </c>
      <c r="W179" s="1">
        <f>=HYPERLINK("10.175.1.14\MWEB.12\SEP\EntityDetails.10.175.1.14.MWEB.12.-reporter-cl.1204.xlsx", "&lt;Detail&gt;")</f>
      </c>
      <c r="X179" s="1">
        <f>=HYPERLINK("10.175.1.14\MWEB.12\SEP\MetricGraphs.SEP.10.175.1.14.MWEB.12.xlsx", "&lt;Metrics&gt;")</f>
      </c>
      <c r="Y179" s="0" t="s">
        <v>107</v>
      </c>
      <c r="Z179" s="0" t="s">
        <v>108</v>
      </c>
      <c r="AA179" s="0" t="s">
        <v>128</v>
      </c>
      <c r="AB179" s="0" t="s">
        <v>807</v>
      </c>
      <c r="AC179" s="0" t="s">
        <v>109</v>
      </c>
    </row>
    <row r="180">
      <c r="A180" s="0" t="s">
        <v>28</v>
      </c>
      <c r="B180" s="0" t="s">
        <v>30</v>
      </c>
      <c r="C180" s="0" t="s">
        <v>133</v>
      </c>
      <c r="D180" s="0" t="s">
        <v>805</v>
      </c>
      <c r="E180" s="0" t="s">
        <v>229</v>
      </c>
      <c r="F180" s="0">
        <v>0</v>
      </c>
      <c r="G180" s="0" t="s">
        <v>106</v>
      </c>
      <c r="H180" s="0">
        <v>0</v>
      </c>
      <c r="I180" s="0">
        <v>0</v>
      </c>
      <c r="J180" s="0">
        <v>0</v>
      </c>
      <c r="K180" s="0">
        <v>0</v>
      </c>
      <c r="L180" s="0">
        <v>0</v>
      </c>
      <c r="M180" s="0">
        <v>0</v>
      </c>
      <c r="N180" s="0" t="b">
        <v>0</v>
      </c>
      <c r="O180" s="2">
        <v>44613.583333333336</v>
      </c>
      <c r="P180" s="2">
        <v>44613.625</v>
      </c>
      <c r="Q180" s="2">
        <v>44613.208333333336</v>
      </c>
      <c r="R180" s="2">
        <v>44613.25</v>
      </c>
      <c r="S180" s="0">
        <v>60</v>
      </c>
      <c r="T180" s="0">
        <v>12</v>
      </c>
      <c r="U180" s="0">
        <v>36</v>
      </c>
      <c r="V180" s="0">
        <v>1237</v>
      </c>
      <c r="W180" s="1">
        <f>=HYPERLINK("10.175.1.14\MWEB.12\SEP\EntityDetails.10.175.1.14.MWEB.12.-reporter-cl.1237.xlsx", "&lt;Detail&gt;")</f>
      </c>
      <c r="X180" s="1">
        <f>=HYPERLINK("10.175.1.14\MWEB.12\SEP\MetricGraphs.SEP.10.175.1.14.MWEB.12.xlsx", "&lt;Metrics&gt;")</f>
      </c>
      <c r="Y180" s="0" t="s">
        <v>107</v>
      </c>
      <c r="Z180" s="0" t="s">
        <v>108</v>
      </c>
      <c r="AA180" s="0" t="s">
        <v>134</v>
      </c>
      <c r="AB180" s="0" t="s">
        <v>808</v>
      </c>
      <c r="AC180" s="0" t="s">
        <v>109</v>
      </c>
    </row>
    <row r="181">
      <c r="A181" s="0" t="s">
        <v>28</v>
      </c>
      <c r="B181" s="0" t="s">
        <v>30</v>
      </c>
      <c r="C181" s="0" t="s">
        <v>133</v>
      </c>
      <c r="D181" s="0" t="s">
        <v>809</v>
      </c>
      <c r="E181" s="0" t="s">
        <v>229</v>
      </c>
      <c r="F181" s="0">
        <v>0</v>
      </c>
      <c r="G181" s="0" t="s">
        <v>106</v>
      </c>
      <c r="H181" s="0">
        <v>0</v>
      </c>
      <c r="I181" s="0">
        <v>0</v>
      </c>
      <c r="J181" s="0">
        <v>0</v>
      </c>
      <c r="K181" s="0">
        <v>0</v>
      </c>
      <c r="L181" s="0">
        <v>0</v>
      </c>
      <c r="M181" s="0">
        <v>0</v>
      </c>
      <c r="N181" s="0" t="b">
        <v>0</v>
      </c>
      <c r="O181" s="2">
        <v>44613.583333333336</v>
      </c>
      <c r="P181" s="2">
        <v>44613.625</v>
      </c>
      <c r="Q181" s="2">
        <v>44613.208333333336</v>
      </c>
      <c r="R181" s="2">
        <v>44613.25</v>
      </c>
      <c r="S181" s="0">
        <v>60</v>
      </c>
      <c r="T181" s="0">
        <v>12</v>
      </c>
      <c r="U181" s="0">
        <v>36</v>
      </c>
      <c r="V181" s="0">
        <v>1246</v>
      </c>
      <c r="W181" s="1">
        <f>=HYPERLINK("10.175.1.14\MWEB.12\SEP\EntityDetails.10.175.1.14.MWEB.12.-scripts-1mn.1246.xlsx", "&lt;Detail&gt;")</f>
      </c>
      <c r="X181" s="1">
        <f>=HYPERLINK("10.175.1.14\MWEB.12\SEP\MetricGraphs.SEP.10.175.1.14.MWEB.12.xlsx", "&lt;Metrics&gt;")</f>
      </c>
      <c r="Y181" s="0" t="s">
        <v>107</v>
      </c>
      <c r="Z181" s="0" t="s">
        <v>108</v>
      </c>
      <c r="AA181" s="0" t="s">
        <v>134</v>
      </c>
      <c r="AB181" s="0" t="s">
        <v>810</v>
      </c>
      <c r="AC181" s="0" t="s">
        <v>109</v>
      </c>
    </row>
    <row r="182">
      <c r="A182" s="0" t="s">
        <v>28</v>
      </c>
      <c r="B182" s="0" t="s">
        <v>30</v>
      </c>
      <c r="C182" s="0" t="s">
        <v>133</v>
      </c>
      <c r="D182" s="0" t="s">
        <v>811</v>
      </c>
      <c r="E182" s="0" t="s">
        <v>229</v>
      </c>
      <c r="F182" s="0">
        <v>0</v>
      </c>
      <c r="G182" s="0" t="s">
        <v>106</v>
      </c>
      <c r="H182" s="0">
        <v>0</v>
      </c>
      <c r="I182" s="0">
        <v>0</v>
      </c>
      <c r="J182" s="0">
        <v>0</v>
      </c>
      <c r="K182" s="0">
        <v>0</v>
      </c>
      <c r="L182" s="0">
        <v>0</v>
      </c>
      <c r="M182" s="0">
        <v>0</v>
      </c>
      <c r="N182" s="0" t="b">
        <v>0</v>
      </c>
      <c r="O182" s="2">
        <v>44613.583333333336</v>
      </c>
      <c r="P182" s="2">
        <v>44613.625</v>
      </c>
      <c r="Q182" s="2">
        <v>44613.208333333336</v>
      </c>
      <c r="R182" s="2">
        <v>44613.25</v>
      </c>
      <c r="S182" s="0">
        <v>60</v>
      </c>
      <c r="T182" s="0">
        <v>12</v>
      </c>
      <c r="U182" s="0">
        <v>36</v>
      </c>
      <c r="V182" s="0">
        <v>1238</v>
      </c>
      <c r="W182" s="1">
        <f>=HYPERLINK("10.175.1.14\MWEB.12\SEP\EntityDetails.10.175.1.14.MWEB.12.-scripts-zen.1238.xlsx", "&lt;Detail&gt;")</f>
      </c>
      <c r="X182" s="1">
        <f>=HYPERLINK("10.175.1.14\MWEB.12\SEP\MetricGraphs.SEP.10.175.1.14.MWEB.12.xlsx", "&lt;Metrics&gt;")</f>
      </c>
      <c r="Y182" s="0" t="s">
        <v>107</v>
      </c>
      <c r="Z182" s="0" t="s">
        <v>108</v>
      </c>
      <c r="AA182" s="0" t="s">
        <v>134</v>
      </c>
      <c r="AB182" s="0" t="s">
        <v>812</v>
      </c>
      <c r="AC182" s="0" t="s">
        <v>109</v>
      </c>
    </row>
    <row r="183">
      <c r="A183" s="0" t="s">
        <v>28</v>
      </c>
      <c r="B183" s="0" t="s">
        <v>30</v>
      </c>
      <c r="C183" s="0" t="s">
        <v>127</v>
      </c>
      <c r="D183" s="0" t="s">
        <v>813</v>
      </c>
      <c r="E183" s="0" t="s">
        <v>229</v>
      </c>
      <c r="F183" s="0">
        <v>0</v>
      </c>
      <c r="G183" s="0" t="s">
        <v>106</v>
      </c>
      <c r="H183" s="0">
        <v>0</v>
      </c>
      <c r="I183" s="0">
        <v>0</v>
      </c>
      <c r="J183" s="0">
        <v>0</v>
      </c>
      <c r="K183" s="0">
        <v>0</v>
      </c>
      <c r="L183" s="0">
        <v>0</v>
      </c>
      <c r="M183" s="0">
        <v>0</v>
      </c>
      <c r="N183" s="0" t="b">
        <v>0</v>
      </c>
      <c r="O183" s="2">
        <v>44613.583333333336</v>
      </c>
      <c r="P183" s="2">
        <v>44613.625</v>
      </c>
      <c r="Q183" s="2">
        <v>44613.208333333336</v>
      </c>
      <c r="R183" s="2">
        <v>44613.25</v>
      </c>
      <c r="S183" s="0">
        <v>60</v>
      </c>
      <c r="T183" s="0">
        <v>12</v>
      </c>
      <c r="U183" s="0">
        <v>39</v>
      </c>
      <c r="V183" s="0">
        <v>1215</v>
      </c>
      <c r="W183" s="1">
        <f>=HYPERLINK("10.175.1.14\MWEB.12\SEP\EntityDetails.10.175.1.14.MWEB.12.-sgdadmin-fa.1215.xlsx", "&lt;Detail&gt;")</f>
      </c>
      <c r="X183" s="1">
        <f>=HYPERLINK("10.175.1.14\MWEB.12\SEP\MetricGraphs.SEP.10.175.1.14.MWEB.12.xlsx", "&lt;Metrics&gt;")</f>
      </c>
      <c r="Y183" s="0" t="s">
        <v>107</v>
      </c>
      <c r="Z183" s="0" t="s">
        <v>108</v>
      </c>
      <c r="AA183" s="0" t="s">
        <v>128</v>
      </c>
      <c r="AB183" s="0" t="s">
        <v>814</v>
      </c>
      <c r="AC183" s="0" t="s">
        <v>109</v>
      </c>
    </row>
    <row r="184">
      <c r="A184" s="0" t="s">
        <v>28</v>
      </c>
      <c r="B184" s="0" t="s">
        <v>30</v>
      </c>
      <c r="C184" s="0" t="s">
        <v>127</v>
      </c>
      <c r="D184" s="0" t="s">
        <v>815</v>
      </c>
      <c r="E184" s="0" t="s">
        <v>229</v>
      </c>
      <c r="F184" s="0">
        <v>0</v>
      </c>
      <c r="G184" s="0" t="s">
        <v>106</v>
      </c>
      <c r="H184" s="0">
        <v>0</v>
      </c>
      <c r="I184" s="0">
        <v>0</v>
      </c>
      <c r="J184" s="0">
        <v>0</v>
      </c>
      <c r="K184" s="0">
        <v>0</v>
      </c>
      <c r="L184" s="0">
        <v>0</v>
      </c>
      <c r="M184" s="0">
        <v>0</v>
      </c>
      <c r="N184" s="0" t="b">
        <v>0</v>
      </c>
      <c r="O184" s="2">
        <v>44613.583333333336</v>
      </c>
      <c r="P184" s="2">
        <v>44613.625</v>
      </c>
      <c r="Q184" s="2">
        <v>44613.208333333336</v>
      </c>
      <c r="R184" s="2">
        <v>44613.25</v>
      </c>
      <c r="S184" s="0">
        <v>60</v>
      </c>
      <c r="T184" s="0">
        <v>12</v>
      </c>
      <c r="U184" s="0">
        <v>39</v>
      </c>
      <c r="V184" s="0">
        <v>1214</v>
      </c>
      <c r="W184" s="1">
        <f>=HYPERLINK("10.175.1.14\MWEB.12\SEP\EntityDetails.10.175.1.14.MWEB.12.-spotfire-ab.1214.xlsx", "&lt;Detail&gt;")</f>
      </c>
      <c r="X184" s="1">
        <f>=HYPERLINK("10.175.1.14\MWEB.12\SEP\MetricGraphs.SEP.10.175.1.14.MWEB.12.xlsx", "&lt;Metrics&gt;")</f>
      </c>
      <c r="Y184" s="0" t="s">
        <v>107</v>
      </c>
      <c r="Z184" s="0" t="s">
        <v>108</v>
      </c>
      <c r="AA184" s="0" t="s">
        <v>128</v>
      </c>
      <c r="AB184" s="0" t="s">
        <v>816</v>
      </c>
      <c r="AC184" s="0" t="s">
        <v>109</v>
      </c>
    </row>
    <row r="185">
      <c r="A185" s="0" t="s">
        <v>28</v>
      </c>
      <c r="B185" s="0" t="s">
        <v>30</v>
      </c>
      <c r="C185" s="0" t="s">
        <v>149</v>
      </c>
      <c r="D185" s="0" t="s">
        <v>817</v>
      </c>
      <c r="E185" s="0" t="s">
        <v>229</v>
      </c>
      <c r="F185" s="0">
        <v>0</v>
      </c>
      <c r="G185" s="0" t="s">
        <v>106</v>
      </c>
      <c r="H185" s="0">
        <v>0</v>
      </c>
      <c r="I185" s="0">
        <v>0</v>
      </c>
      <c r="J185" s="0">
        <v>0</v>
      </c>
      <c r="K185" s="0">
        <v>0</v>
      </c>
      <c r="L185" s="0">
        <v>0</v>
      </c>
      <c r="M185" s="0">
        <v>0</v>
      </c>
      <c r="N185" s="0" t="b">
        <v>0</v>
      </c>
      <c r="O185" s="2">
        <v>44613.583333333336</v>
      </c>
      <c r="P185" s="2">
        <v>44613.625</v>
      </c>
      <c r="Q185" s="2">
        <v>44613.208333333336</v>
      </c>
      <c r="R185" s="2">
        <v>44613.25</v>
      </c>
      <c r="S185" s="0">
        <v>60</v>
      </c>
      <c r="T185" s="0">
        <v>12</v>
      </c>
      <c r="U185" s="0">
        <v>50</v>
      </c>
      <c r="V185" s="0">
        <v>2528</v>
      </c>
      <c r="W185" s="1">
        <f>=HYPERLINK("10.175.1.14\MWEB.12\SEP\EntityDetails.10.175.1.14.MWEB.12.-st-.2528.xlsx", "&lt;Detail&gt;")</f>
      </c>
      <c r="X185" s="1">
        <f>=HYPERLINK("10.175.1.14\MWEB.12\SEP\MetricGraphs.SEP.10.175.1.14.MWEB.12.xlsx", "&lt;Metrics&gt;")</f>
      </c>
      <c r="Y185" s="0" t="s">
        <v>107</v>
      </c>
      <c r="Z185" s="0" t="s">
        <v>108</v>
      </c>
      <c r="AA185" s="0" t="s">
        <v>150</v>
      </c>
      <c r="AB185" s="0" t="s">
        <v>818</v>
      </c>
      <c r="AC185" s="0" t="s">
        <v>109</v>
      </c>
    </row>
    <row r="186">
      <c r="A186" s="0" t="s">
        <v>28</v>
      </c>
      <c r="B186" s="0" t="s">
        <v>30</v>
      </c>
      <c r="C186" s="0" t="s">
        <v>137</v>
      </c>
      <c r="D186" s="0" t="s">
        <v>528</v>
      </c>
      <c r="E186" s="0" t="s">
        <v>229</v>
      </c>
      <c r="F186" s="0">
        <v>0</v>
      </c>
      <c r="G186" s="0" t="s">
        <v>106</v>
      </c>
      <c r="H186" s="0">
        <v>0</v>
      </c>
      <c r="I186" s="0">
        <v>0</v>
      </c>
      <c r="J186" s="0">
        <v>0</v>
      </c>
      <c r="K186" s="0">
        <v>0</v>
      </c>
      <c r="L186" s="0">
        <v>0</v>
      </c>
      <c r="M186" s="0">
        <v>0</v>
      </c>
      <c r="N186" s="0" t="b">
        <v>0</v>
      </c>
      <c r="O186" s="2">
        <v>44613.583333333336</v>
      </c>
      <c r="P186" s="2">
        <v>44613.625</v>
      </c>
      <c r="Q186" s="2">
        <v>44613.208333333336</v>
      </c>
      <c r="R186" s="2">
        <v>44613.25</v>
      </c>
      <c r="S186" s="0">
        <v>60</v>
      </c>
      <c r="T186" s="0">
        <v>12</v>
      </c>
      <c r="U186" s="0">
        <v>38</v>
      </c>
      <c r="V186" s="0">
        <v>293</v>
      </c>
      <c r="W186" s="1">
        <f>=HYPERLINK("10.175.1.14\MWEB.12\SEP\EntityDetails.10.175.1.14.MWEB.12.-stub-dummy.293.xlsx", "&lt;Detail&gt;")</f>
      </c>
      <c r="X186" s="1">
        <f>=HYPERLINK("10.175.1.14\MWEB.12\SEP\MetricGraphs.SEP.10.175.1.14.MWEB.12.xlsx", "&lt;Metrics&gt;")</f>
      </c>
      <c r="Y186" s="0" t="s">
        <v>107</v>
      </c>
      <c r="Z186" s="0" t="s">
        <v>108</v>
      </c>
      <c r="AA186" s="0" t="s">
        <v>138</v>
      </c>
      <c r="AB186" s="0" t="s">
        <v>819</v>
      </c>
      <c r="AC186" s="0" t="s">
        <v>109</v>
      </c>
    </row>
    <row r="187">
      <c r="A187" s="0" t="s">
        <v>28</v>
      </c>
      <c r="B187" s="0" t="s">
        <v>30</v>
      </c>
      <c r="C187" s="0" t="s">
        <v>125</v>
      </c>
      <c r="D187" s="0" t="s">
        <v>820</v>
      </c>
      <c r="E187" s="0" t="s">
        <v>229</v>
      </c>
      <c r="F187" s="0">
        <v>0</v>
      </c>
      <c r="G187" s="0" t="s">
        <v>106</v>
      </c>
      <c r="H187" s="0">
        <v>0</v>
      </c>
      <c r="I187" s="0">
        <v>0</v>
      </c>
      <c r="J187" s="0">
        <v>0</v>
      </c>
      <c r="K187" s="0">
        <v>0</v>
      </c>
      <c r="L187" s="0">
        <v>0</v>
      </c>
      <c r="M187" s="0">
        <v>0</v>
      </c>
      <c r="N187" s="0" t="b">
        <v>0</v>
      </c>
      <c r="O187" s="2">
        <v>44613.583333333336</v>
      </c>
      <c r="P187" s="2">
        <v>44613.625</v>
      </c>
      <c r="Q187" s="2">
        <v>44613.208333333336</v>
      </c>
      <c r="R187" s="2">
        <v>44613.25</v>
      </c>
      <c r="S187" s="0">
        <v>60</v>
      </c>
      <c r="T187" s="0">
        <v>12</v>
      </c>
      <c r="U187" s="0">
        <v>42</v>
      </c>
      <c r="V187" s="0">
        <v>1185</v>
      </c>
      <c r="W187" s="1">
        <f>=HYPERLINK("10.175.1.14\MWEB.12\SEP\EntityDetails.10.175.1.14.MWEB.12.-userportal-.1185.xlsx", "&lt;Detail&gt;")</f>
      </c>
      <c r="X187" s="1">
        <f>=HYPERLINK("10.175.1.14\MWEB.12\SEP\MetricGraphs.SEP.10.175.1.14.MWEB.12.xlsx", "&lt;Metrics&gt;")</f>
      </c>
      <c r="Y187" s="0" t="s">
        <v>107</v>
      </c>
      <c r="Z187" s="0" t="s">
        <v>108</v>
      </c>
      <c r="AA187" s="0" t="s">
        <v>126</v>
      </c>
      <c r="AB187" s="0" t="s">
        <v>821</v>
      </c>
      <c r="AC187" s="0" t="s">
        <v>109</v>
      </c>
    </row>
    <row r="188">
      <c r="A188" s="0" t="s">
        <v>28</v>
      </c>
      <c r="B188" s="0" t="s">
        <v>30</v>
      </c>
      <c r="C188" s="0" t="s">
        <v>127</v>
      </c>
      <c r="D188" s="0" t="s">
        <v>820</v>
      </c>
      <c r="E188" s="0" t="s">
        <v>229</v>
      </c>
      <c r="F188" s="0">
        <v>0</v>
      </c>
      <c r="G188" s="0" t="s">
        <v>106</v>
      </c>
      <c r="H188" s="0">
        <v>0</v>
      </c>
      <c r="I188" s="0">
        <v>0</v>
      </c>
      <c r="J188" s="0">
        <v>0</v>
      </c>
      <c r="K188" s="0">
        <v>0</v>
      </c>
      <c r="L188" s="0">
        <v>0</v>
      </c>
      <c r="M188" s="0">
        <v>0</v>
      </c>
      <c r="N188" s="0" t="b">
        <v>0</v>
      </c>
      <c r="O188" s="2">
        <v>44613.583333333336</v>
      </c>
      <c r="P188" s="2">
        <v>44613.625</v>
      </c>
      <c r="Q188" s="2">
        <v>44613.208333333336</v>
      </c>
      <c r="R188" s="2">
        <v>44613.25</v>
      </c>
      <c r="S188" s="0">
        <v>60</v>
      </c>
      <c r="T188" s="0">
        <v>12</v>
      </c>
      <c r="U188" s="0">
        <v>39</v>
      </c>
      <c r="V188" s="0">
        <v>1200</v>
      </c>
      <c r="W188" s="1">
        <f>=HYPERLINK("10.175.1.14\MWEB.12\SEP\EntityDetails.10.175.1.14.MWEB.12.-userportal-.1200.xlsx", "&lt;Detail&gt;")</f>
      </c>
      <c r="X188" s="1">
        <f>=HYPERLINK("10.175.1.14\MWEB.12\SEP\MetricGraphs.SEP.10.175.1.14.MWEB.12.xlsx", "&lt;Metrics&gt;")</f>
      </c>
      <c r="Y188" s="0" t="s">
        <v>107</v>
      </c>
      <c r="Z188" s="0" t="s">
        <v>108</v>
      </c>
      <c r="AA188" s="0" t="s">
        <v>128</v>
      </c>
      <c r="AB188" s="0" t="s">
        <v>822</v>
      </c>
      <c r="AC188" s="0" t="s">
        <v>109</v>
      </c>
    </row>
    <row r="189">
      <c r="A189" s="0" t="s">
        <v>28</v>
      </c>
      <c r="B189" s="0" t="s">
        <v>30</v>
      </c>
      <c r="C189" s="0" t="s">
        <v>133</v>
      </c>
      <c r="D189" s="0" t="s">
        <v>820</v>
      </c>
      <c r="E189" s="0" t="s">
        <v>229</v>
      </c>
      <c r="F189" s="0">
        <v>0</v>
      </c>
      <c r="G189" s="0" t="s">
        <v>106</v>
      </c>
      <c r="H189" s="0">
        <v>0</v>
      </c>
      <c r="I189" s="0">
        <v>0</v>
      </c>
      <c r="J189" s="0">
        <v>0</v>
      </c>
      <c r="K189" s="0">
        <v>0</v>
      </c>
      <c r="L189" s="0">
        <v>0</v>
      </c>
      <c r="M189" s="0">
        <v>0</v>
      </c>
      <c r="N189" s="0" t="b">
        <v>0</v>
      </c>
      <c r="O189" s="2">
        <v>44613.583333333336</v>
      </c>
      <c r="P189" s="2">
        <v>44613.625</v>
      </c>
      <c r="Q189" s="2">
        <v>44613.208333333336</v>
      </c>
      <c r="R189" s="2">
        <v>44613.25</v>
      </c>
      <c r="S189" s="0">
        <v>60</v>
      </c>
      <c r="T189" s="0">
        <v>12</v>
      </c>
      <c r="U189" s="0">
        <v>36</v>
      </c>
      <c r="V189" s="0">
        <v>1234</v>
      </c>
      <c r="W189" s="1">
        <f>=HYPERLINK("10.175.1.14\MWEB.12\SEP\EntityDetails.10.175.1.14.MWEB.12.-userportal-.1234.xlsx", "&lt;Detail&gt;")</f>
      </c>
      <c r="X189" s="1">
        <f>=HYPERLINK("10.175.1.14\MWEB.12\SEP\MetricGraphs.SEP.10.175.1.14.MWEB.12.xlsx", "&lt;Metrics&gt;")</f>
      </c>
      <c r="Y189" s="0" t="s">
        <v>107</v>
      </c>
      <c r="Z189" s="0" t="s">
        <v>108</v>
      </c>
      <c r="AA189" s="0" t="s">
        <v>134</v>
      </c>
      <c r="AB189" s="0" t="s">
        <v>823</v>
      </c>
      <c r="AC189" s="0" t="s">
        <v>109</v>
      </c>
    </row>
    <row r="190">
      <c r="A190" s="0" t="s">
        <v>28</v>
      </c>
      <c r="B190" s="0" t="s">
        <v>30</v>
      </c>
      <c r="C190" s="0" t="s">
        <v>127</v>
      </c>
      <c r="D190" s="0" t="s">
        <v>824</v>
      </c>
      <c r="E190" s="0" t="s">
        <v>229</v>
      </c>
      <c r="F190" s="0">
        <v>0</v>
      </c>
      <c r="G190" s="0" t="s">
        <v>106</v>
      </c>
      <c r="H190" s="0">
        <v>0</v>
      </c>
      <c r="I190" s="0">
        <v>0</v>
      </c>
      <c r="J190" s="0">
        <v>0</v>
      </c>
      <c r="K190" s="0">
        <v>0</v>
      </c>
      <c r="L190" s="0">
        <v>0</v>
      </c>
      <c r="M190" s="0">
        <v>0</v>
      </c>
      <c r="N190" s="0" t="b">
        <v>0</v>
      </c>
      <c r="O190" s="2">
        <v>44613.583333333336</v>
      </c>
      <c r="P190" s="2">
        <v>44613.625</v>
      </c>
      <c r="Q190" s="2">
        <v>44613.208333333336</v>
      </c>
      <c r="R190" s="2">
        <v>44613.25</v>
      </c>
      <c r="S190" s="0">
        <v>60</v>
      </c>
      <c r="T190" s="0">
        <v>12</v>
      </c>
      <c r="U190" s="0">
        <v>39</v>
      </c>
      <c r="V190" s="0">
        <v>1203</v>
      </c>
      <c r="W190" s="1">
        <f>=HYPERLINK("10.175.1.14\MWEB.12\SEP\EntityDetails.10.175.1.14.MWEB.12.-vr4l7s8f.js.1203.xlsx", "&lt;Detail&gt;")</f>
      </c>
      <c r="X190" s="1">
        <f>=HYPERLINK("10.175.1.14\MWEB.12\SEP\MetricGraphs.SEP.10.175.1.14.MWEB.12.xlsx", "&lt;Metrics&gt;")</f>
      </c>
      <c r="Y190" s="0" t="s">
        <v>107</v>
      </c>
      <c r="Z190" s="0" t="s">
        <v>108</v>
      </c>
      <c r="AA190" s="0" t="s">
        <v>128</v>
      </c>
      <c r="AB190" s="0" t="s">
        <v>825</v>
      </c>
      <c r="AC190" s="0" t="s">
        <v>109</v>
      </c>
    </row>
    <row r="191">
      <c r="A191" s="0" t="s">
        <v>28</v>
      </c>
      <c r="B191" s="0" t="s">
        <v>30</v>
      </c>
      <c r="C191" s="0" t="s">
        <v>125</v>
      </c>
      <c r="D191" s="0" t="s">
        <v>826</v>
      </c>
      <c r="E191" s="0" t="s">
        <v>229</v>
      </c>
      <c r="F191" s="0">
        <v>0</v>
      </c>
      <c r="G191" s="0" t="s">
        <v>106</v>
      </c>
      <c r="H191" s="0">
        <v>0</v>
      </c>
      <c r="I191" s="0">
        <v>0</v>
      </c>
      <c r="J191" s="0">
        <v>0</v>
      </c>
      <c r="K191" s="0">
        <v>0</v>
      </c>
      <c r="L191" s="0">
        <v>0</v>
      </c>
      <c r="M191" s="0">
        <v>0</v>
      </c>
      <c r="N191" s="0" t="b">
        <v>0</v>
      </c>
      <c r="O191" s="2">
        <v>44613.583333333336</v>
      </c>
      <c r="P191" s="2">
        <v>44613.625</v>
      </c>
      <c r="Q191" s="2">
        <v>44613.208333333336</v>
      </c>
      <c r="R191" s="2">
        <v>44613.25</v>
      </c>
      <c r="S191" s="0">
        <v>60</v>
      </c>
      <c r="T191" s="0">
        <v>12</v>
      </c>
      <c r="U191" s="0">
        <v>42</v>
      </c>
      <c r="V191" s="0">
        <v>1188</v>
      </c>
      <c r="W191" s="1">
        <f>=HYPERLINK("10.175.1.14\MWEB.12\SEP\EntityDetails.10.175.1.14.MWEB.12.-webconsole-.1188.xlsx", "&lt;Detail&gt;")</f>
      </c>
      <c r="X191" s="1">
        <f>=HYPERLINK("10.175.1.14\MWEB.12\SEP\MetricGraphs.SEP.10.175.1.14.MWEB.12.xlsx", "&lt;Metrics&gt;")</f>
      </c>
      <c r="Y191" s="0" t="s">
        <v>107</v>
      </c>
      <c r="Z191" s="0" t="s">
        <v>108</v>
      </c>
      <c r="AA191" s="0" t="s">
        <v>126</v>
      </c>
      <c r="AB191" s="0" t="s">
        <v>827</v>
      </c>
      <c r="AC191" s="0" t="s">
        <v>109</v>
      </c>
    </row>
    <row r="192">
      <c r="A192" s="0" t="s">
        <v>28</v>
      </c>
      <c r="B192" s="0" t="s">
        <v>30</v>
      </c>
      <c r="C192" s="0" t="s">
        <v>127</v>
      </c>
      <c r="D192" s="0" t="s">
        <v>826</v>
      </c>
      <c r="E192" s="0" t="s">
        <v>229</v>
      </c>
      <c r="F192" s="0">
        <v>0</v>
      </c>
      <c r="G192" s="0" t="s">
        <v>106</v>
      </c>
      <c r="H192" s="0">
        <v>0</v>
      </c>
      <c r="I192" s="0">
        <v>0</v>
      </c>
      <c r="J192" s="0">
        <v>0</v>
      </c>
      <c r="K192" s="0">
        <v>0</v>
      </c>
      <c r="L192" s="0">
        <v>0</v>
      </c>
      <c r="M192" s="0">
        <v>0</v>
      </c>
      <c r="N192" s="0" t="b">
        <v>0</v>
      </c>
      <c r="O192" s="2">
        <v>44613.583333333336</v>
      </c>
      <c r="P192" s="2">
        <v>44613.625</v>
      </c>
      <c r="Q192" s="2">
        <v>44613.208333333336</v>
      </c>
      <c r="R192" s="2">
        <v>44613.25</v>
      </c>
      <c r="S192" s="0">
        <v>60</v>
      </c>
      <c r="T192" s="0">
        <v>12</v>
      </c>
      <c r="U192" s="0">
        <v>39</v>
      </c>
      <c r="V192" s="0">
        <v>1202</v>
      </c>
      <c r="W192" s="1">
        <f>=HYPERLINK("10.175.1.14\MWEB.12\SEP\EntityDetails.10.175.1.14.MWEB.12.-webconsole-.1202.xlsx", "&lt;Detail&gt;")</f>
      </c>
      <c r="X192" s="1">
        <f>=HYPERLINK("10.175.1.14\MWEB.12\SEP\MetricGraphs.SEP.10.175.1.14.MWEB.12.xlsx", "&lt;Metrics&gt;")</f>
      </c>
      <c r="Y192" s="0" t="s">
        <v>107</v>
      </c>
      <c r="Z192" s="0" t="s">
        <v>108</v>
      </c>
      <c r="AA192" s="0" t="s">
        <v>128</v>
      </c>
      <c r="AB192" s="0" t="s">
        <v>828</v>
      </c>
      <c r="AC192" s="0" t="s">
        <v>109</v>
      </c>
    </row>
    <row r="193">
      <c r="A193" s="0" t="s">
        <v>28</v>
      </c>
      <c r="B193" s="0" t="s">
        <v>30</v>
      </c>
      <c r="C193" s="0" t="s">
        <v>133</v>
      </c>
      <c r="D193" s="0" t="s">
        <v>826</v>
      </c>
      <c r="E193" s="0" t="s">
        <v>229</v>
      </c>
      <c r="F193" s="0">
        <v>0</v>
      </c>
      <c r="G193" s="0" t="s">
        <v>106</v>
      </c>
      <c r="H193" s="0">
        <v>0</v>
      </c>
      <c r="I193" s="0">
        <v>0</v>
      </c>
      <c r="J193" s="0">
        <v>0</v>
      </c>
      <c r="K193" s="0">
        <v>0</v>
      </c>
      <c r="L193" s="0">
        <v>0</v>
      </c>
      <c r="M193" s="0">
        <v>0</v>
      </c>
      <c r="N193" s="0" t="b">
        <v>0</v>
      </c>
      <c r="O193" s="2">
        <v>44613.583333333336</v>
      </c>
      <c r="P193" s="2">
        <v>44613.625</v>
      </c>
      <c r="Q193" s="2">
        <v>44613.208333333336</v>
      </c>
      <c r="R193" s="2">
        <v>44613.25</v>
      </c>
      <c r="S193" s="0">
        <v>60</v>
      </c>
      <c r="T193" s="0">
        <v>12</v>
      </c>
      <c r="U193" s="0">
        <v>36</v>
      </c>
      <c r="V193" s="0">
        <v>1236</v>
      </c>
      <c r="W193" s="1">
        <f>=HYPERLINK("10.175.1.14\MWEB.12\SEP\EntityDetails.10.175.1.14.MWEB.12.-webconsole-.1236.xlsx", "&lt;Detail&gt;")</f>
      </c>
      <c r="X193" s="1">
        <f>=HYPERLINK("10.175.1.14\MWEB.12\SEP\MetricGraphs.SEP.10.175.1.14.MWEB.12.xlsx", "&lt;Metrics&gt;")</f>
      </c>
      <c r="Y193" s="0" t="s">
        <v>107</v>
      </c>
      <c r="Z193" s="0" t="s">
        <v>108</v>
      </c>
      <c r="AA193" s="0" t="s">
        <v>134</v>
      </c>
      <c r="AB193" s="0" t="s">
        <v>829</v>
      </c>
      <c r="AC193" s="0" t="s">
        <v>109</v>
      </c>
    </row>
    <row r="194">
      <c r="A194" s="0" t="s">
        <v>28</v>
      </c>
      <c r="B194" s="0" t="s">
        <v>30</v>
      </c>
      <c r="C194" s="0" t="s">
        <v>125</v>
      </c>
      <c r="D194" s="0" t="s">
        <v>532</v>
      </c>
      <c r="E194" s="0" t="s">
        <v>229</v>
      </c>
      <c r="F194" s="0">
        <v>0</v>
      </c>
      <c r="G194" s="0" t="s">
        <v>106</v>
      </c>
      <c r="H194" s="0">
        <v>0</v>
      </c>
      <c r="I194" s="0">
        <v>0</v>
      </c>
      <c r="J194" s="0">
        <v>0</v>
      </c>
      <c r="K194" s="0">
        <v>0</v>
      </c>
      <c r="L194" s="0">
        <v>0</v>
      </c>
      <c r="M194" s="0">
        <v>0</v>
      </c>
      <c r="N194" s="0" t="b">
        <v>0</v>
      </c>
      <c r="O194" s="2">
        <v>44613.583333333336</v>
      </c>
      <c r="P194" s="2">
        <v>44613.625</v>
      </c>
      <c r="Q194" s="2">
        <v>44613.208333333336</v>
      </c>
      <c r="R194" s="2">
        <v>44613.25</v>
      </c>
      <c r="S194" s="0">
        <v>60</v>
      </c>
      <c r="T194" s="0">
        <v>12</v>
      </c>
      <c r="U194" s="0">
        <v>42</v>
      </c>
      <c r="V194" s="0">
        <v>162</v>
      </c>
      <c r="W194" s="1">
        <f>=HYPERLINK("10.175.1.14\MWEB.12\SEP\EntityDetails.10.175.1.14.MWEB.12.-WEB-INF-jsp.162.xlsx", "&lt;Detail&gt;")</f>
      </c>
      <c r="X194" s="1">
        <f>=HYPERLINK("10.175.1.14\MWEB.12\SEP\MetricGraphs.SEP.10.175.1.14.MWEB.12.xlsx", "&lt;Metrics&gt;")</f>
      </c>
      <c r="Y194" s="0" t="s">
        <v>107</v>
      </c>
      <c r="Z194" s="0" t="s">
        <v>108</v>
      </c>
      <c r="AA194" s="0" t="s">
        <v>126</v>
      </c>
      <c r="AB194" s="0" t="s">
        <v>830</v>
      </c>
      <c r="AC194" s="0" t="s">
        <v>109</v>
      </c>
    </row>
    <row r="195">
      <c r="A195" s="0" t="s">
        <v>28</v>
      </c>
      <c r="B195" s="0" t="s">
        <v>30</v>
      </c>
      <c r="C195" s="0" t="s">
        <v>127</v>
      </c>
      <c r="D195" s="0" t="s">
        <v>532</v>
      </c>
      <c r="E195" s="0" t="s">
        <v>229</v>
      </c>
      <c r="F195" s="0">
        <v>0</v>
      </c>
      <c r="G195" s="0" t="s">
        <v>106</v>
      </c>
      <c r="H195" s="0">
        <v>0</v>
      </c>
      <c r="I195" s="0">
        <v>0</v>
      </c>
      <c r="J195" s="0">
        <v>0</v>
      </c>
      <c r="K195" s="0">
        <v>0</v>
      </c>
      <c r="L195" s="0">
        <v>0</v>
      </c>
      <c r="M195" s="0">
        <v>0</v>
      </c>
      <c r="N195" s="0" t="b">
        <v>0</v>
      </c>
      <c r="O195" s="2">
        <v>44613.583333333336</v>
      </c>
      <c r="P195" s="2">
        <v>44613.625</v>
      </c>
      <c r="Q195" s="2">
        <v>44613.208333333336</v>
      </c>
      <c r="R195" s="2">
        <v>44613.25</v>
      </c>
      <c r="S195" s="0">
        <v>60</v>
      </c>
      <c r="T195" s="0">
        <v>12</v>
      </c>
      <c r="U195" s="0">
        <v>39</v>
      </c>
      <c r="V195" s="0">
        <v>355</v>
      </c>
      <c r="W195" s="1">
        <f>=HYPERLINK("10.175.1.14\MWEB.12\SEP\EntityDetails.10.175.1.14.MWEB.12.-WEB-INF-jsp.355.xlsx", "&lt;Detail&gt;")</f>
      </c>
      <c r="X195" s="1">
        <f>=HYPERLINK("10.175.1.14\MWEB.12\SEP\MetricGraphs.SEP.10.175.1.14.MWEB.12.xlsx", "&lt;Metrics&gt;")</f>
      </c>
      <c r="Y195" s="0" t="s">
        <v>107</v>
      </c>
      <c r="Z195" s="0" t="s">
        <v>108</v>
      </c>
      <c r="AA195" s="0" t="s">
        <v>128</v>
      </c>
      <c r="AB195" s="0" t="s">
        <v>831</v>
      </c>
      <c r="AC195" s="0" t="s">
        <v>109</v>
      </c>
    </row>
    <row r="196">
      <c r="A196" s="0" t="s">
        <v>28</v>
      </c>
      <c r="B196" s="0" t="s">
        <v>30</v>
      </c>
      <c r="C196" s="0" t="s">
        <v>131</v>
      </c>
      <c r="D196" s="0" t="s">
        <v>532</v>
      </c>
      <c r="E196" s="0" t="s">
        <v>229</v>
      </c>
      <c r="F196" s="0">
        <v>0</v>
      </c>
      <c r="G196" s="0" t="s">
        <v>106</v>
      </c>
      <c r="H196" s="0">
        <v>0</v>
      </c>
      <c r="I196" s="0">
        <v>0</v>
      </c>
      <c r="J196" s="0">
        <v>0</v>
      </c>
      <c r="K196" s="0">
        <v>0</v>
      </c>
      <c r="L196" s="0">
        <v>0</v>
      </c>
      <c r="M196" s="0">
        <v>0</v>
      </c>
      <c r="N196" s="0" t="b">
        <v>0</v>
      </c>
      <c r="O196" s="2">
        <v>44613.583333333336</v>
      </c>
      <c r="P196" s="2">
        <v>44613.625</v>
      </c>
      <c r="Q196" s="2">
        <v>44613.208333333336</v>
      </c>
      <c r="R196" s="2">
        <v>44613.25</v>
      </c>
      <c r="S196" s="0">
        <v>60</v>
      </c>
      <c r="T196" s="0">
        <v>12</v>
      </c>
      <c r="U196" s="0">
        <v>40</v>
      </c>
      <c r="V196" s="0">
        <v>874</v>
      </c>
      <c r="W196" s="1">
        <f>=HYPERLINK("10.175.1.14\MWEB.12\SEP\EntityDetails.10.175.1.14.MWEB.12.-WEB-INF-jsp.874.xlsx", "&lt;Detail&gt;")</f>
      </c>
      <c r="X196" s="1">
        <f>=HYPERLINK("10.175.1.14\MWEB.12\SEP\MetricGraphs.SEP.10.175.1.14.MWEB.12.xlsx", "&lt;Metrics&gt;")</f>
      </c>
      <c r="Y196" s="0" t="s">
        <v>107</v>
      </c>
      <c r="Z196" s="0" t="s">
        <v>108</v>
      </c>
      <c r="AA196" s="0" t="s">
        <v>132</v>
      </c>
      <c r="AB196" s="0" t="s">
        <v>832</v>
      </c>
      <c r="AC196" s="0" t="s">
        <v>109</v>
      </c>
    </row>
    <row r="197">
      <c r="A197" s="0" t="s">
        <v>28</v>
      </c>
      <c r="B197" s="0" t="s">
        <v>30</v>
      </c>
      <c r="C197" s="0" t="s">
        <v>147</v>
      </c>
      <c r="D197" s="0" t="s">
        <v>532</v>
      </c>
      <c r="E197" s="0" t="s">
        <v>229</v>
      </c>
      <c r="F197" s="0">
        <v>0</v>
      </c>
      <c r="G197" s="0" t="s">
        <v>106</v>
      </c>
      <c r="H197" s="0">
        <v>0</v>
      </c>
      <c r="I197" s="0">
        <v>0</v>
      </c>
      <c r="J197" s="0">
        <v>0</v>
      </c>
      <c r="K197" s="0">
        <v>0</v>
      </c>
      <c r="L197" s="0">
        <v>0</v>
      </c>
      <c r="M197" s="0">
        <v>0</v>
      </c>
      <c r="N197" s="0" t="b">
        <v>0</v>
      </c>
      <c r="O197" s="2">
        <v>44613.583333333336</v>
      </c>
      <c r="P197" s="2">
        <v>44613.625</v>
      </c>
      <c r="Q197" s="2">
        <v>44613.208333333336</v>
      </c>
      <c r="R197" s="2">
        <v>44613.25</v>
      </c>
      <c r="S197" s="0">
        <v>60</v>
      </c>
      <c r="T197" s="0">
        <v>12</v>
      </c>
      <c r="U197" s="0">
        <v>49</v>
      </c>
      <c r="V197" s="0">
        <v>2535</v>
      </c>
      <c r="W197" s="1">
        <f>=HYPERLINK("10.175.1.14\MWEB.12\SEP\EntityDetails.10.175.1.14.MWEB.12.-WEB-INF-jsp.2535.xlsx", "&lt;Detail&gt;")</f>
      </c>
      <c r="X197" s="1">
        <f>=HYPERLINK("10.175.1.14\MWEB.12\SEP\MetricGraphs.SEP.10.175.1.14.MWEB.12.xlsx", "&lt;Metrics&gt;")</f>
      </c>
      <c r="Y197" s="0" t="s">
        <v>107</v>
      </c>
      <c r="Z197" s="0" t="s">
        <v>108</v>
      </c>
      <c r="AA197" s="0" t="s">
        <v>148</v>
      </c>
      <c r="AB197" s="0" t="s">
        <v>833</v>
      </c>
      <c r="AC197" s="0" t="s">
        <v>109</v>
      </c>
    </row>
    <row r="198">
      <c r="A198" s="0" t="s">
        <v>28</v>
      </c>
      <c r="B198" s="0" t="s">
        <v>30</v>
      </c>
      <c r="C198" s="0" t="s">
        <v>133</v>
      </c>
      <c r="D198" s="0" t="s">
        <v>834</v>
      </c>
      <c r="E198" s="0" t="s">
        <v>229</v>
      </c>
      <c r="F198" s="0">
        <v>0</v>
      </c>
      <c r="G198" s="0" t="s">
        <v>106</v>
      </c>
      <c r="H198" s="0">
        <v>0</v>
      </c>
      <c r="I198" s="0">
        <v>0</v>
      </c>
      <c r="J198" s="0">
        <v>0</v>
      </c>
      <c r="K198" s="0">
        <v>0</v>
      </c>
      <c r="L198" s="0">
        <v>0</v>
      </c>
      <c r="M198" s="0">
        <v>0</v>
      </c>
      <c r="N198" s="0" t="b">
        <v>0</v>
      </c>
      <c r="O198" s="2">
        <v>44613.583333333336</v>
      </c>
      <c r="P198" s="2">
        <v>44613.625</v>
      </c>
      <c r="Q198" s="2">
        <v>44613.208333333336</v>
      </c>
      <c r="R198" s="2">
        <v>44613.25</v>
      </c>
      <c r="S198" s="0">
        <v>60</v>
      </c>
      <c r="T198" s="0">
        <v>12</v>
      </c>
      <c r="U198" s="0">
        <v>36</v>
      </c>
      <c r="V198" s="0">
        <v>1230</v>
      </c>
      <c r="W198" s="1">
        <f>=HYPERLINK("10.175.1.14\MWEB.12\SEP\EntityDetails.10.175.1.14.MWEB.12.-weblogic-in.1230.xlsx", "&lt;Detail&gt;")</f>
      </c>
      <c r="X198" s="1">
        <f>=HYPERLINK("10.175.1.14\MWEB.12\SEP\MetricGraphs.SEP.10.175.1.14.MWEB.12.xlsx", "&lt;Metrics&gt;")</f>
      </c>
      <c r="Y198" s="0" t="s">
        <v>107</v>
      </c>
      <c r="Z198" s="0" t="s">
        <v>108</v>
      </c>
      <c r="AA198" s="0" t="s">
        <v>134</v>
      </c>
      <c r="AB198" s="0" t="s">
        <v>835</v>
      </c>
      <c r="AC198" s="0" t="s">
        <v>109</v>
      </c>
    </row>
    <row r="199">
      <c r="A199" s="0" t="s">
        <v>28</v>
      </c>
      <c r="B199" s="0" t="s">
        <v>30</v>
      </c>
      <c r="C199" s="0" t="s">
        <v>135</v>
      </c>
      <c r="D199" s="0" t="s">
        <v>834</v>
      </c>
      <c r="E199" s="0" t="s">
        <v>229</v>
      </c>
      <c r="F199" s="0">
        <v>0</v>
      </c>
      <c r="G199" s="0" t="s">
        <v>106</v>
      </c>
      <c r="H199" s="0">
        <v>0</v>
      </c>
      <c r="I199" s="0">
        <v>0</v>
      </c>
      <c r="J199" s="0">
        <v>0</v>
      </c>
      <c r="K199" s="0">
        <v>0</v>
      </c>
      <c r="L199" s="0">
        <v>0</v>
      </c>
      <c r="M199" s="0">
        <v>0</v>
      </c>
      <c r="N199" s="0" t="b">
        <v>0</v>
      </c>
      <c r="O199" s="2">
        <v>44613.583333333336</v>
      </c>
      <c r="P199" s="2">
        <v>44613.625</v>
      </c>
      <c r="Q199" s="2">
        <v>44613.208333333336</v>
      </c>
      <c r="R199" s="2">
        <v>44613.25</v>
      </c>
      <c r="S199" s="0">
        <v>60</v>
      </c>
      <c r="T199" s="0">
        <v>12</v>
      </c>
      <c r="U199" s="0">
        <v>37</v>
      </c>
      <c r="V199" s="0">
        <v>1232</v>
      </c>
      <c r="W199" s="1">
        <f>=HYPERLINK("10.175.1.14\MWEB.12\SEP\EntityDetails.10.175.1.14.MWEB.12.-weblogic-in.1232.xlsx", "&lt;Detail&gt;")</f>
      </c>
      <c r="X199" s="1">
        <f>=HYPERLINK("10.175.1.14\MWEB.12\SEP\MetricGraphs.SEP.10.175.1.14.MWEB.12.xlsx", "&lt;Metrics&gt;")</f>
      </c>
      <c r="Y199" s="0" t="s">
        <v>107</v>
      </c>
      <c r="Z199" s="0" t="s">
        <v>108</v>
      </c>
      <c r="AA199" s="0" t="s">
        <v>136</v>
      </c>
      <c r="AB199" s="0" t="s">
        <v>836</v>
      </c>
      <c r="AC199" s="0" t="s">
        <v>109</v>
      </c>
    </row>
    <row r="200">
      <c r="A200" s="0" t="s">
        <v>28</v>
      </c>
      <c r="B200" s="0" t="s">
        <v>30</v>
      </c>
      <c r="C200" s="0" t="s">
        <v>137</v>
      </c>
      <c r="D200" s="0" t="s">
        <v>834</v>
      </c>
      <c r="E200" s="0" t="s">
        <v>229</v>
      </c>
      <c r="F200" s="0">
        <v>0</v>
      </c>
      <c r="G200" s="0" t="s">
        <v>106</v>
      </c>
      <c r="H200" s="0">
        <v>0</v>
      </c>
      <c r="I200" s="0">
        <v>0</v>
      </c>
      <c r="J200" s="0">
        <v>0</v>
      </c>
      <c r="K200" s="0">
        <v>0</v>
      </c>
      <c r="L200" s="0">
        <v>0</v>
      </c>
      <c r="M200" s="0">
        <v>0</v>
      </c>
      <c r="N200" s="0" t="b">
        <v>0</v>
      </c>
      <c r="O200" s="2">
        <v>44613.583333333336</v>
      </c>
      <c r="P200" s="2">
        <v>44613.625</v>
      </c>
      <c r="Q200" s="2">
        <v>44613.208333333336</v>
      </c>
      <c r="R200" s="2">
        <v>44613.25</v>
      </c>
      <c r="S200" s="0">
        <v>60</v>
      </c>
      <c r="T200" s="0">
        <v>12</v>
      </c>
      <c r="U200" s="0">
        <v>38</v>
      </c>
      <c r="V200" s="0">
        <v>1233</v>
      </c>
      <c r="W200" s="1">
        <f>=HYPERLINK("10.175.1.14\MWEB.12\SEP\EntityDetails.10.175.1.14.MWEB.12.-weblogic-in.1233.xlsx", "&lt;Detail&gt;")</f>
      </c>
      <c r="X200" s="1">
        <f>=HYPERLINK("10.175.1.14\MWEB.12\SEP\MetricGraphs.SEP.10.175.1.14.MWEB.12.xlsx", "&lt;Metrics&gt;")</f>
      </c>
      <c r="Y200" s="0" t="s">
        <v>107</v>
      </c>
      <c r="Z200" s="0" t="s">
        <v>108</v>
      </c>
      <c r="AA200" s="0" t="s">
        <v>138</v>
      </c>
      <c r="AB200" s="0" t="s">
        <v>837</v>
      </c>
      <c r="AC200" s="0" t="s">
        <v>109</v>
      </c>
    </row>
    <row r="201">
      <c r="A201" s="0" t="s">
        <v>28</v>
      </c>
      <c r="B201" s="0" t="s">
        <v>30</v>
      </c>
      <c r="C201" s="0" t="s">
        <v>143</v>
      </c>
      <c r="D201" s="0" t="s">
        <v>834</v>
      </c>
      <c r="E201" s="0" t="s">
        <v>229</v>
      </c>
      <c r="F201" s="0">
        <v>0</v>
      </c>
      <c r="G201" s="0" t="s">
        <v>106</v>
      </c>
      <c r="H201" s="0">
        <v>0</v>
      </c>
      <c r="I201" s="0">
        <v>0</v>
      </c>
      <c r="J201" s="0">
        <v>0</v>
      </c>
      <c r="K201" s="0">
        <v>0</v>
      </c>
      <c r="L201" s="0">
        <v>0</v>
      </c>
      <c r="M201" s="0">
        <v>0</v>
      </c>
      <c r="N201" s="0" t="b">
        <v>0</v>
      </c>
      <c r="O201" s="2">
        <v>44613.583333333336</v>
      </c>
      <c r="P201" s="2">
        <v>44613.625</v>
      </c>
      <c r="Q201" s="2">
        <v>44613.208333333336</v>
      </c>
      <c r="R201" s="2">
        <v>44613.25</v>
      </c>
      <c r="S201" s="0">
        <v>60</v>
      </c>
      <c r="T201" s="0">
        <v>12</v>
      </c>
      <c r="U201" s="0">
        <v>43</v>
      </c>
      <c r="V201" s="0">
        <v>1218</v>
      </c>
      <c r="W201" s="1">
        <f>=HYPERLINK("10.175.1.14\MWEB.12\SEP\EntityDetails.10.175.1.14.MWEB.12.-weblogic-in.1218.xlsx", "&lt;Detail&gt;")</f>
      </c>
      <c r="X201" s="1">
        <f>=HYPERLINK("10.175.1.14\MWEB.12\SEP\MetricGraphs.SEP.10.175.1.14.MWEB.12.xlsx", "&lt;Metrics&gt;")</f>
      </c>
      <c r="Y201" s="0" t="s">
        <v>107</v>
      </c>
      <c r="Z201" s="0" t="s">
        <v>108</v>
      </c>
      <c r="AA201" s="0" t="s">
        <v>144</v>
      </c>
      <c r="AB201" s="0" t="s">
        <v>838</v>
      </c>
      <c r="AC201" s="0" t="s">
        <v>109</v>
      </c>
    </row>
    <row r="202">
      <c r="A202" s="0" t="s">
        <v>28</v>
      </c>
      <c r="B202" s="0" t="s">
        <v>30</v>
      </c>
      <c r="C202" s="0" t="s">
        <v>163</v>
      </c>
      <c r="D202" s="0" t="s">
        <v>834</v>
      </c>
      <c r="E202" s="0" t="s">
        <v>229</v>
      </c>
      <c r="F202" s="0">
        <v>0</v>
      </c>
      <c r="G202" s="0" t="s">
        <v>106</v>
      </c>
      <c r="H202" s="0">
        <v>0</v>
      </c>
      <c r="I202" s="0">
        <v>0</v>
      </c>
      <c r="J202" s="0">
        <v>0</v>
      </c>
      <c r="K202" s="0">
        <v>0</v>
      </c>
      <c r="L202" s="0">
        <v>0</v>
      </c>
      <c r="M202" s="0">
        <v>0</v>
      </c>
      <c r="N202" s="0" t="b">
        <v>0</v>
      </c>
      <c r="O202" s="2">
        <v>44613.583333333336</v>
      </c>
      <c r="P202" s="2">
        <v>44613.625</v>
      </c>
      <c r="Q202" s="2">
        <v>44613.208333333336</v>
      </c>
      <c r="R202" s="2">
        <v>44613.25</v>
      </c>
      <c r="S202" s="0">
        <v>60</v>
      </c>
      <c r="T202" s="0">
        <v>12</v>
      </c>
      <c r="U202" s="0">
        <v>55</v>
      </c>
      <c r="V202" s="0">
        <v>3055</v>
      </c>
      <c r="W202" s="1">
        <f>=HYPERLINK("10.175.1.14\MWEB.12\SEP\EntityDetails.10.175.1.14.MWEB.12.-weblogic-in.3055.xlsx", "&lt;Detail&gt;")</f>
      </c>
      <c r="X202" s="1">
        <f>=HYPERLINK("10.175.1.14\MWEB.12\SEP\MetricGraphs.SEP.10.175.1.14.MWEB.12.xlsx", "&lt;Metrics&gt;")</f>
      </c>
      <c r="Y202" s="0" t="s">
        <v>107</v>
      </c>
      <c r="Z202" s="0" t="s">
        <v>108</v>
      </c>
      <c r="AA202" s="0" t="s">
        <v>164</v>
      </c>
      <c r="AB202" s="0" t="s">
        <v>839</v>
      </c>
      <c r="AC202" s="0" t="s">
        <v>109</v>
      </c>
    </row>
    <row r="203">
      <c r="A203" s="0" t="s">
        <v>28</v>
      </c>
      <c r="B203" s="0" t="s">
        <v>30</v>
      </c>
      <c r="C203" s="0" t="s">
        <v>133</v>
      </c>
      <c r="D203" s="0" t="s">
        <v>840</v>
      </c>
      <c r="E203" s="0" t="s">
        <v>229</v>
      </c>
      <c r="F203" s="0">
        <v>0</v>
      </c>
      <c r="G203" s="0" t="s">
        <v>106</v>
      </c>
      <c r="H203" s="0">
        <v>0</v>
      </c>
      <c r="I203" s="0">
        <v>0</v>
      </c>
      <c r="J203" s="0">
        <v>0</v>
      </c>
      <c r="K203" s="0">
        <v>0</v>
      </c>
      <c r="L203" s="0">
        <v>0</v>
      </c>
      <c r="M203" s="0">
        <v>0</v>
      </c>
      <c r="N203" s="0" t="b">
        <v>0</v>
      </c>
      <c r="O203" s="2">
        <v>44613.583333333336</v>
      </c>
      <c r="P203" s="2">
        <v>44613.625</v>
      </c>
      <c r="Q203" s="2">
        <v>44613.208333333336</v>
      </c>
      <c r="R203" s="2">
        <v>44613.25</v>
      </c>
      <c r="S203" s="0">
        <v>60</v>
      </c>
      <c r="T203" s="0">
        <v>12</v>
      </c>
      <c r="U203" s="0">
        <v>36</v>
      </c>
      <c r="V203" s="0">
        <v>1249</v>
      </c>
      <c r="W203" s="1">
        <f>=HYPERLINK("10.175.1.14\MWEB.12\SEP\EntityDetails.10.175.1.14.MWEB.12.-WebServiceI.1249.xlsx", "&lt;Detail&gt;")</f>
      </c>
      <c r="X203" s="1">
        <f>=HYPERLINK("10.175.1.14\MWEB.12\SEP\MetricGraphs.SEP.10.175.1.14.MWEB.12.xlsx", "&lt;Metrics&gt;")</f>
      </c>
      <c r="Y203" s="0" t="s">
        <v>107</v>
      </c>
      <c r="Z203" s="0" t="s">
        <v>108</v>
      </c>
      <c r="AA203" s="0" t="s">
        <v>134</v>
      </c>
      <c r="AB203" s="0" t="s">
        <v>841</v>
      </c>
      <c r="AC203" s="0" t="s">
        <v>109</v>
      </c>
    </row>
    <row r="204">
      <c r="A204" s="0" t="s">
        <v>28</v>
      </c>
      <c r="B204" s="0" t="s">
        <v>30</v>
      </c>
      <c r="C204" s="0" t="s">
        <v>127</v>
      </c>
      <c r="D204" s="0" t="s">
        <v>535</v>
      </c>
      <c r="E204" s="0" t="s">
        <v>229</v>
      </c>
      <c r="F204" s="0">
        <v>0</v>
      </c>
      <c r="G204" s="0" t="s">
        <v>106</v>
      </c>
      <c r="H204" s="0">
        <v>0</v>
      </c>
      <c r="I204" s="0">
        <v>0</v>
      </c>
      <c r="J204" s="0">
        <v>0</v>
      </c>
      <c r="K204" s="0">
        <v>0</v>
      </c>
      <c r="L204" s="0">
        <v>0</v>
      </c>
      <c r="M204" s="0">
        <v>0</v>
      </c>
      <c r="N204" s="0" t="b">
        <v>0</v>
      </c>
      <c r="O204" s="2">
        <v>44613.583333333336</v>
      </c>
      <c r="P204" s="2">
        <v>44613.625</v>
      </c>
      <c r="Q204" s="2">
        <v>44613.208333333336</v>
      </c>
      <c r="R204" s="2">
        <v>44613.25</v>
      </c>
      <c r="S204" s="0">
        <v>60</v>
      </c>
      <c r="T204" s="0">
        <v>12</v>
      </c>
      <c r="U204" s="0">
        <v>39</v>
      </c>
      <c r="V204" s="0">
        <v>208</v>
      </c>
      <c r="W204" s="1">
        <f>=HYPERLINK("10.175.1.14\MWEB.12\SEP\EntityDetails.10.175.1.14.MWEB.12.-wins-inet.208.xlsx", "&lt;Detail&gt;")</f>
      </c>
      <c r="X204" s="1">
        <f>=HYPERLINK("10.175.1.14\MWEB.12\SEP\MetricGraphs.SEP.10.175.1.14.MWEB.12.xlsx", "&lt;Metrics&gt;")</f>
      </c>
      <c r="Y204" s="0" t="s">
        <v>107</v>
      </c>
      <c r="Z204" s="0" t="s">
        <v>108</v>
      </c>
      <c r="AA204" s="0" t="s">
        <v>128</v>
      </c>
      <c r="AB204" s="0" t="s">
        <v>842</v>
      </c>
      <c r="AC204" s="0" t="s">
        <v>109</v>
      </c>
    </row>
    <row r="205">
      <c r="A205" s="0" t="s">
        <v>28</v>
      </c>
      <c r="B205" s="0" t="s">
        <v>30</v>
      </c>
      <c r="C205" s="0" t="s">
        <v>127</v>
      </c>
      <c r="D205" s="0" t="s">
        <v>537</v>
      </c>
      <c r="E205" s="0" t="s">
        <v>229</v>
      </c>
      <c r="F205" s="0">
        <v>0</v>
      </c>
      <c r="G205" s="0" t="s">
        <v>106</v>
      </c>
      <c r="H205" s="0">
        <v>0</v>
      </c>
      <c r="I205" s="0">
        <v>0</v>
      </c>
      <c r="J205" s="0">
        <v>0</v>
      </c>
      <c r="K205" s="0">
        <v>0</v>
      </c>
      <c r="L205" s="0">
        <v>0</v>
      </c>
      <c r="M205" s="0">
        <v>0</v>
      </c>
      <c r="N205" s="0" t="b">
        <v>0</v>
      </c>
      <c r="O205" s="2">
        <v>44613.583333333336</v>
      </c>
      <c r="P205" s="2">
        <v>44613.625</v>
      </c>
      <c r="Q205" s="2">
        <v>44613.208333333336</v>
      </c>
      <c r="R205" s="2">
        <v>44613.25</v>
      </c>
      <c r="S205" s="0">
        <v>60</v>
      </c>
      <c r="T205" s="0">
        <v>12</v>
      </c>
      <c r="U205" s="0">
        <v>39</v>
      </c>
      <c r="V205" s="0">
        <v>129</v>
      </c>
      <c r="W205" s="1">
        <f>=HYPERLINK("10.175.1.14\MWEB.12\SEP\EntityDetails.10.175.1.14.MWEB.12.-wins-inquir.129.xlsx", "&lt;Detail&gt;")</f>
      </c>
      <c r="X205" s="1">
        <f>=HYPERLINK("10.175.1.14\MWEB.12\SEP\MetricGraphs.SEP.10.175.1.14.MWEB.12.xlsx", "&lt;Metrics&gt;")</f>
      </c>
      <c r="Y205" s="0" t="s">
        <v>107</v>
      </c>
      <c r="Z205" s="0" t="s">
        <v>108</v>
      </c>
      <c r="AA205" s="0" t="s">
        <v>128</v>
      </c>
      <c r="AB205" s="0" t="s">
        <v>843</v>
      </c>
      <c r="AC205" s="0" t="s">
        <v>109</v>
      </c>
    </row>
    <row r="206">
      <c r="A206" s="0" t="s">
        <v>28</v>
      </c>
      <c r="B206" s="0" t="s">
        <v>30</v>
      </c>
      <c r="C206" s="0" t="s">
        <v>127</v>
      </c>
      <c r="D206" s="0" t="s">
        <v>539</v>
      </c>
      <c r="E206" s="0" t="s">
        <v>229</v>
      </c>
      <c r="F206" s="0">
        <v>0</v>
      </c>
      <c r="G206" s="0" t="s">
        <v>106</v>
      </c>
      <c r="H206" s="0">
        <v>0</v>
      </c>
      <c r="I206" s="0">
        <v>0</v>
      </c>
      <c r="J206" s="0">
        <v>0</v>
      </c>
      <c r="K206" s="0">
        <v>0</v>
      </c>
      <c r="L206" s="0">
        <v>0</v>
      </c>
      <c r="M206" s="0">
        <v>0</v>
      </c>
      <c r="N206" s="0" t="b">
        <v>0</v>
      </c>
      <c r="O206" s="2">
        <v>44613.583333333336</v>
      </c>
      <c r="P206" s="2">
        <v>44613.625</v>
      </c>
      <c r="Q206" s="2">
        <v>44613.208333333336</v>
      </c>
      <c r="R206" s="2">
        <v>44613.25</v>
      </c>
      <c r="S206" s="0">
        <v>60</v>
      </c>
      <c r="T206" s="0">
        <v>12</v>
      </c>
      <c r="U206" s="0">
        <v>39</v>
      </c>
      <c r="V206" s="0">
        <v>126</v>
      </c>
      <c r="W206" s="1">
        <f>=HYPERLINK("10.175.1.14\MWEB.12\SEP\EntityDetails.10.175.1.14.MWEB.12.-wins-login.126.xlsx", "&lt;Detail&gt;")</f>
      </c>
      <c r="X206" s="1">
        <f>=HYPERLINK("10.175.1.14\MWEB.12\SEP\MetricGraphs.SEP.10.175.1.14.MWEB.12.xlsx", "&lt;Metrics&gt;")</f>
      </c>
      <c r="Y206" s="0" t="s">
        <v>107</v>
      </c>
      <c r="Z206" s="0" t="s">
        <v>108</v>
      </c>
      <c r="AA206" s="0" t="s">
        <v>128</v>
      </c>
      <c r="AB206" s="0" t="s">
        <v>844</v>
      </c>
      <c r="AC206" s="0" t="s">
        <v>109</v>
      </c>
    </row>
    <row r="207">
      <c r="A207" s="0" t="s">
        <v>28</v>
      </c>
      <c r="B207" s="0" t="s">
        <v>30</v>
      </c>
      <c r="C207" s="0" t="s">
        <v>149</v>
      </c>
      <c r="D207" s="0" t="s">
        <v>539</v>
      </c>
      <c r="E207" s="0" t="s">
        <v>229</v>
      </c>
      <c r="F207" s="0">
        <v>0</v>
      </c>
      <c r="G207" s="0" t="s">
        <v>106</v>
      </c>
      <c r="H207" s="0">
        <v>0</v>
      </c>
      <c r="I207" s="0">
        <v>0</v>
      </c>
      <c r="J207" s="0">
        <v>0</v>
      </c>
      <c r="K207" s="0">
        <v>0</v>
      </c>
      <c r="L207" s="0">
        <v>0</v>
      </c>
      <c r="M207" s="0">
        <v>0</v>
      </c>
      <c r="N207" s="0" t="b">
        <v>0</v>
      </c>
      <c r="O207" s="2">
        <v>44613.583333333336</v>
      </c>
      <c r="P207" s="2">
        <v>44613.625</v>
      </c>
      <c r="Q207" s="2">
        <v>44613.208333333336</v>
      </c>
      <c r="R207" s="2">
        <v>44613.25</v>
      </c>
      <c r="S207" s="0">
        <v>60</v>
      </c>
      <c r="T207" s="0">
        <v>12</v>
      </c>
      <c r="U207" s="0">
        <v>50</v>
      </c>
      <c r="V207" s="0">
        <v>2252</v>
      </c>
      <c r="W207" s="1">
        <f>=HYPERLINK("10.175.1.14\MWEB.12\SEP\EntityDetails.10.175.1.14.MWEB.12.-wins-login.2252.xlsx", "&lt;Detail&gt;")</f>
      </c>
      <c r="X207" s="1">
        <f>=HYPERLINK("10.175.1.14\MWEB.12\SEP\MetricGraphs.SEP.10.175.1.14.MWEB.12.xlsx", "&lt;Metrics&gt;")</f>
      </c>
      <c r="Y207" s="0" t="s">
        <v>107</v>
      </c>
      <c r="Z207" s="0" t="s">
        <v>108</v>
      </c>
      <c r="AA207" s="0" t="s">
        <v>150</v>
      </c>
      <c r="AB207" s="0" t="s">
        <v>845</v>
      </c>
      <c r="AC207" s="0" t="s">
        <v>109</v>
      </c>
    </row>
    <row r="208">
      <c r="A208" s="0" t="s">
        <v>28</v>
      </c>
      <c r="B208" s="0" t="s">
        <v>30</v>
      </c>
      <c r="C208" s="0" t="s">
        <v>127</v>
      </c>
      <c r="D208" s="0" t="s">
        <v>541</v>
      </c>
      <c r="E208" s="0" t="s">
        <v>229</v>
      </c>
      <c r="F208" s="0">
        <v>0</v>
      </c>
      <c r="G208" s="0" t="s">
        <v>106</v>
      </c>
      <c r="H208" s="0">
        <v>0</v>
      </c>
      <c r="I208" s="0">
        <v>0</v>
      </c>
      <c r="J208" s="0">
        <v>0</v>
      </c>
      <c r="K208" s="0">
        <v>0</v>
      </c>
      <c r="L208" s="0">
        <v>0</v>
      </c>
      <c r="M208" s="0">
        <v>0</v>
      </c>
      <c r="N208" s="0" t="b">
        <v>0</v>
      </c>
      <c r="O208" s="2">
        <v>44613.583333333336</v>
      </c>
      <c r="P208" s="2">
        <v>44613.625</v>
      </c>
      <c r="Q208" s="2">
        <v>44613.208333333336</v>
      </c>
      <c r="R208" s="2">
        <v>44613.25</v>
      </c>
      <c r="S208" s="0">
        <v>60</v>
      </c>
      <c r="T208" s="0">
        <v>12</v>
      </c>
      <c r="U208" s="0">
        <v>39</v>
      </c>
      <c r="V208" s="0">
        <v>128</v>
      </c>
      <c r="W208" s="1">
        <f>=HYPERLINK("10.175.1.14\MWEB.12\SEP\EntityDetails.10.175.1.14.MWEB.12.-wins-passwo.128.xlsx", "&lt;Detail&gt;")</f>
      </c>
      <c r="X208" s="1">
        <f>=HYPERLINK("10.175.1.14\MWEB.12\SEP\MetricGraphs.SEP.10.175.1.14.MWEB.12.xlsx", "&lt;Metrics&gt;")</f>
      </c>
      <c r="Y208" s="0" t="s">
        <v>107</v>
      </c>
      <c r="Z208" s="0" t="s">
        <v>108</v>
      </c>
      <c r="AA208" s="0" t="s">
        <v>128</v>
      </c>
      <c r="AB208" s="0" t="s">
        <v>846</v>
      </c>
      <c r="AC208" s="0" t="s">
        <v>109</v>
      </c>
    </row>
    <row r="209">
      <c r="A209" s="0" t="s">
        <v>28</v>
      </c>
      <c r="B209" s="0" t="s">
        <v>30</v>
      </c>
      <c r="C209" s="0" t="s">
        <v>127</v>
      </c>
      <c r="D209" s="0" t="s">
        <v>543</v>
      </c>
      <c r="E209" s="0" t="s">
        <v>229</v>
      </c>
      <c r="F209" s="0">
        <v>0</v>
      </c>
      <c r="G209" s="0" t="s">
        <v>106</v>
      </c>
      <c r="H209" s="0">
        <v>0</v>
      </c>
      <c r="I209" s="0">
        <v>0</v>
      </c>
      <c r="J209" s="0">
        <v>0</v>
      </c>
      <c r="K209" s="0">
        <v>0</v>
      </c>
      <c r="L209" s="0">
        <v>0</v>
      </c>
      <c r="M209" s="0">
        <v>0</v>
      </c>
      <c r="N209" s="0" t="b">
        <v>0</v>
      </c>
      <c r="O209" s="2">
        <v>44613.583333333336</v>
      </c>
      <c r="P209" s="2">
        <v>44613.625</v>
      </c>
      <c r="Q209" s="2">
        <v>44613.208333333336</v>
      </c>
      <c r="R209" s="2">
        <v>44613.25</v>
      </c>
      <c r="S209" s="0">
        <v>60</v>
      </c>
      <c r="T209" s="0">
        <v>12</v>
      </c>
      <c r="U209" s="0">
        <v>39</v>
      </c>
      <c r="V209" s="0">
        <v>142</v>
      </c>
      <c r="W209" s="1">
        <f>=HYPERLINK("10.175.1.14\MWEB.12\SEP\EntityDetails.10.175.1.14.MWEB.12.-wins-reques.142.xlsx", "&lt;Detail&gt;")</f>
      </c>
      <c r="X209" s="1">
        <f>=HYPERLINK("10.175.1.14\MWEB.12\SEP\MetricGraphs.SEP.10.175.1.14.MWEB.12.xlsx", "&lt;Metrics&gt;")</f>
      </c>
      <c r="Y209" s="0" t="s">
        <v>107</v>
      </c>
      <c r="Z209" s="0" t="s">
        <v>108</v>
      </c>
      <c r="AA209" s="0" t="s">
        <v>128</v>
      </c>
      <c r="AB209" s="0" t="s">
        <v>847</v>
      </c>
      <c r="AC209" s="0" t="s">
        <v>109</v>
      </c>
    </row>
    <row r="210">
      <c r="A210" s="0" t="s">
        <v>28</v>
      </c>
      <c r="B210" s="0" t="s">
        <v>30</v>
      </c>
      <c r="C210" s="0" t="s">
        <v>127</v>
      </c>
      <c r="D210" s="0" t="s">
        <v>545</v>
      </c>
      <c r="E210" s="0" t="s">
        <v>229</v>
      </c>
      <c r="F210" s="0">
        <v>0</v>
      </c>
      <c r="G210" s="0" t="s">
        <v>106</v>
      </c>
      <c r="H210" s="0">
        <v>0</v>
      </c>
      <c r="I210" s="0">
        <v>0</v>
      </c>
      <c r="J210" s="0">
        <v>0</v>
      </c>
      <c r="K210" s="0">
        <v>0</v>
      </c>
      <c r="L210" s="0">
        <v>0</v>
      </c>
      <c r="M210" s="0">
        <v>0</v>
      </c>
      <c r="N210" s="0" t="b">
        <v>0</v>
      </c>
      <c r="O210" s="2">
        <v>44613.583333333336</v>
      </c>
      <c r="P210" s="2">
        <v>44613.625</v>
      </c>
      <c r="Q210" s="2">
        <v>44613.208333333336</v>
      </c>
      <c r="R210" s="2">
        <v>44613.25</v>
      </c>
      <c r="S210" s="0">
        <v>60</v>
      </c>
      <c r="T210" s="0">
        <v>12</v>
      </c>
      <c r="U210" s="0">
        <v>39</v>
      </c>
      <c r="V210" s="0">
        <v>135</v>
      </c>
      <c r="W210" s="1">
        <f>=HYPERLINK("10.175.1.14\MWEB.12\SEP\EntityDetails.10.175.1.14.MWEB.12.-wins-reset.135.xlsx", "&lt;Detail&gt;")</f>
      </c>
      <c r="X210" s="1">
        <f>=HYPERLINK("10.175.1.14\MWEB.12\SEP\MetricGraphs.SEP.10.175.1.14.MWEB.12.xlsx", "&lt;Metrics&gt;")</f>
      </c>
      <c r="Y210" s="0" t="s">
        <v>107</v>
      </c>
      <c r="Z210" s="0" t="s">
        <v>108</v>
      </c>
      <c r="AA210" s="0" t="s">
        <v>128</v>
      </c>
      <c r="AB210" s="0" t="s">
        <v>848</v>
      </c>
      <c r="AC210" s="0" t="s">
        <v>109</v>
      </c>
    </row>
    <row r="211">
      <c r="A211" s="0" t="s">
        <v>28</v>
      </c>
      <c r="B211" s="0" t="s">
        <v>30</v>
      </c>
      <c r="C211" s="0" t="s">
        <v>127</v>
      </c>
      <c r="D211" s="0" t="s">
        <v>547</v>
      </c>
      <c r="E211" s="0" t="s">
        <v>229</v>
      </c>
      <c r="F211" s="0">
        <v>0</v>
      </c>
      <c r="G211" s="0" t="s">
        <v>106</v>
      </c>
      <c r="H211" s="0">
        <v>0</v>
      </c>
      <c r="I211" s="0">
        <v>0</v>
      </c>
      <c r="J211" s="0">
        <v>0</v>
      </c>
      <c r="K211" s="0">
        <v>0</v>
      </c>
      <c r="L211" s="0">
        <v>0</v>
      </c>
      <c r="M211" s="0">
        <v>0</v>
      </c>
      <c r="N211" s="0" t="b">
        <v>0</v>
      </c>
      <c r="O211" s="2">
        <v>44613.583333333336</v>
      </c>
      <c r="P211" s="2">
        <v>44613.625</v>
      </c>
      <c r="Q211" s="2">
        <v>44613.208333333336</v>
      </c>
      <c r="R211" s="2">
        <v>44613.25</v>
      </c>
      <c r="S211" s="0">
        <v>60</v>
      </c>
      <c r="T211" s="0">
        <v>12</v>
      </c>
      <c r="U211" s="0">
        <v>39</v>
      </c>
      <c r="V211" s="0">
        <v>127</v>
      </c>
      <c r="W211" s="1">
        <f>=HYPERLINK("10.175.1.14\MWEB.12\SEP\EntityDetails.10.175.1.14.MWEB.12.-wins-select.127.xlsx", "&lt;Detail&gt;")</f>
      </c>
      <c r="X211" s="1">
        <f>=HYPERLINK("10.175.1.14\MWEB.12\SEP\MetricGraphs.SEP.10.175.1.14.MWEB.12.xlsx", "&lt;Metrics&gt;")</f>
      </c>
      <c r="Y211" s="0" t="s">
        <v>107</v>
      </c>
      <c r="Z211" s="0" t="s">
        <v>108</v>
      </c>
      <c r="AA211" s="0" t="s">
        <v>128</v>
      </c>
      <c r="AB211" s="0" t="s">
        <v>849</v>
      </c>
      <c r="AC211" s="0" t="s">
        <v>109</v>
      </c>
    </row>
    <row r="212">
      <c r="A212" s="0" t="s">
        <v>28</v>
      </c>
      <c r="B212" s="0" t="s">
        <v>30</v>
      </c>
      <c r="C212" s="0" t="s">
        <v>127</v>
      </c>
      <c r="D212" s="0" t="s">
        <v>850</v>
      </c>
      <c r="E212" s="0" t="s">
        <v>229</v>
      </c>
      <c r="F212" s="0">
        <v>0</v>
      </c>
      <c r="G212" s="0" t="s">
        <v>106</v>
      </c>
      <c r="H212" s="0">
        <v>0</v>
      </c>
      <c r="I212" s="0">
        <v>0</v>
      </c>
      <c r="J212" s="0">
        <v>0</v>
      </c>
      <c r="K212" s="0">
        <v>0</v>
      </c>
      <c r="L212" s="0">
        <v>0</v>
      </c>
      <c r="M212" s="0">
        <v>0</v>
      </c>
      <c r="N212" s="0" t="b">
        <v>0</v>
      </c>
      <c r="O212" s="2">
        <v>44613.583333333336</v>
      </c>
      <c r="P212" s="2">
        <v>44613.625</v>
      </c>
      <c r="Q212" s="2">
        <v>44613.208333333336</v>
      </c>
      <c r="R212" s="2">
        <v>44613.25</v>
      </c>
      <c r="S212" s="0">
        <v>60</v>
      </c>
      <c r="T212" s="0">
        <v>12</v>
      </c>
      <c r="U212" s="0">
        <v>39</v>
      </c>
      <c r="V212" s="0">
        <v>141</v>
      </c>
      <c r="W212" s="1">
        <f>=HYPERLINK("10.175.1.14\MWEB.12\SEP\EntityDetails.10.175.1.14.MWEB.12.-wins-System.141.xlsx", "&lt;Detail&gt;")</f>
      </c>
      <c r="X212" s="1">
        <f>=HYPERLINK("10.175.1.14\MWEB.12\SEP\MetricGraphs.SEP.10.175.1.14.MWEB.12.xlsx", "&lt;Metrics&gt;")</f>
      </c>
      <c r="Y212" s="0" t="s">
        <v>107</v>
      </c>
      <c r="Z212" s="0" t="s">
        <v>108</v>
      </c>
      <c r="AA212" s="0" t="s">
        <v>128</v>
      </c>
      <c r="AB212" s="0" t="s">
        <v>851</v>
      </c>
      <c r="AC212" s="0" t="s">
        <v>109</v>
      </c>
    </row>
    <row r="213">
      <c r="A213" s="0" t="s">
        <v>28</v>
      </c>
      <c r="B213" s="0" t="s">
        <v>30</v>
      </c>
      <c r="C213" s="0" t="s">
        <v>127</v>
      </c>
      <c r="D213" s="0" t="s">
        <v>549</v>
      </c>
      <c r="E213" s="0" t="s">
        <v>229</v>
      </c>
      <c r="F213" s="0">
        <v>0</v>
      </c>
      <c r="G213" s="0" t="s">
        <v>106</v>
      </c>
      <c r="H213" s="0">
        <v>0</v>
      </c>
      <c r="I213" s="0">
        <v>0</v>
      </c>
      <c r="J213" s="0">
        <v>0</v>
      </c>
      <c r="K213" s="0">
        <v>0</v>
      </c>
      <c r="L213" s="0">
        <v>0</v>
      </c>
      <c r="M213" s="0">
        <v>0</v>
      </c>
      <c r="N213" s="0" t="b">
        <v>0</v>
      </c>
      <c r="O213" s="2">
        <v>44613.583333333336</v>
      </c>
      <c r="P213" s="2">
        <v>44613.625</v>
      </c>
      <c r="Q213" s="2">
        <v>44613.208333333336</v>
      </c>
      <c r="R213" s="2">
        <v>44613.25</v>
      </c>
      <c r="S213" s="0">
        <v>60</v>
      </c>
      <c r="T213" s="0">
        <v>12</v>
      </c>
      <c r="U213" s="0">
        <v>39</v>
      </c>
      <c r="V213" s="0">
        <v>156</v>
      </c>
      <c r="W213" s="1">
        <f>=HYPERLINK("10.175.1.14\MWEB.12\SEP\EntityDetails.10.175.1.14.MWEB.12.-wins-userad.156.xlsx", "&lt;Detail&gt;")</f>
      </c>
      <c r="X213" s="1">
        <f>=HYPERLINK("10.175.1.14\MWEB.12\SEP\MetricGraphs.SEP.10.175.1.14.MWEB.12.xlsx", "&lt;Metrics&gt;")</f>
      </c>
      <c r="Y213" s="0" t="s">
        <v>107</v>
      </c>
      <c r="Z213" s="0" t="s">
        <v>108</v>
      </c>
      <c r="AA213" s="0" t="s">
        <v>128</v>
      </c>
      <c r="AB213" s="0" t="s">
        <v>852</v>
      </c>
      <c r="AC213" s="0" t="s">
        <v>109</v>
      </c>
    </row>
    <row r="214">
      <c r="A214" s="0" t="s">
        <v>28</v>
      </c>
      <c r="B214" s="0" t="s">
        <v>30</v>
      </c>
      <c r="C214" s="0" t="s">
        <v>127</v>
      </c>
      <c r="D214" s="0" t="s">
        <v>551</v>
      </c>
      <c r="E214" s="0" t="s">
        <v>229</v>
      </c>
      <c r="F214" s="0">
        <v>0</v>
      </c>
      <c r="G214" s="0" t="s">
        <v>106</v>
      </c>
      <c r="H214" s="0">
        <v>0</v>
      </c>
      <c r="I214" s="0">
        <v>0</v>
      </c>
      <c r="J214" s="0">
        <v>0</v>
      </c>
      <c r="K214" s="0">
        <v>0</v>
      </c>
      <c r="L214" s="0">
        <v>0</v>
      </c>
      <c r="M214" s="0">
        <v>0</v>
      </c>
      <c r="N214" s="0" t="b">
        <v>0</v>
      </c>
      <c r="O214" s="2">
        <v>44613.583333333336</v>
      </c>
      <c r="P214" s="2">
        <v>44613.625</v>
      </c>
      <c r="Q214" s="2">
        <v>44613.208333333336</v>
      </c>
      <c r="R214" s="2">
        <v>44613.25</v>
      </c>
      <c r="S214" s="0">
        <v>60</v>
      </c>
      <c r="T214" s="0">
        <v>12</v>
      </c>
      <c r="U214" s="0">
        <v>39</v>
      </c>
      <c r="V214" s="0">
        <v>158</v>
      </c>
      <c r="W214" s="1">
        <f>=HYPERLINK("10.175.1.14\MWEB.12\SEP\EntityDetails.10.175.1.14.MWEB.12.-wins-userch.158.xlsx", "&lt;Detail&gt;")</f>
      </c>
      <c r="X214" s="1">
        <f>=HYPERLINK("10.175.1.14\MWEB.12\SEP\MetricGraphs.SEP.10.175.1.14.MWEB.12.xlsx", "&lt;Metrics&gt;")</f>
      </c>
      <c r="Y214" s="0" t="s">
        <v>107</v>
      </c>
      <c r="Z214" s="0" t="s">
        <v>108</v>
      </c>
      <c r="AA214" s="0" t="s">
        <v>128</v>
      </c>
      <c r="AB214" s="0" t="s">
        <v>853</v>
      </c>
      <c r="AC214" s="0" t="s">
        <v>109</v>
      </c>
    </row>
    <row r="215">
      <c r="A215" s="0" t="s">
        <v>28</v>
      </c>
      <c r="B215" s="0" t="s">
        <v>30</v>
      </c>
      <c r="C215" s="0" t="s">
        <v>127</v>
      </c>
      <c r="D215" s="0" t="s">
        <v>553</v>
      </c>
      <c r="E215" s="0" t="s">
        <v>229</v>
      </c>
      <c r="F215" s="0">
        <v>0</v>
      </c>
      <c r="G215" s="0" t="s">
        <v>106</v>
      </c>
      <c r="H215" s="0">
        <v>0</v>
      </c>
      <c r="I215" s="0">
        <v>0</v>
      </c>
      <c r="J215" s="0">
        <v>0</v>
      </c>
      <c r="K215" s="0">
        <v>0</v>
      </c>
      <c r="L215" s="0">
        <v>0</v>
      </c>
      <c r="M215" s="0">
        <v>0</v>
      </c>
      <c r="N215" s="0" t="b">
        <v>0</v>
      </c>
      <c r="O215" s="2">
        <v>44613.583333333336</v>
      </c>
      <c r="P215" s="2">
        <v>44613.625</v>
      </c>
      <c r="Q215" s="2">
        <v>44613.208333333336</v>
      </c>
      <c r="R215" s="2">
        <v>44613.25</v>
      </c>
      <c r="S215" s="0">
        <v>60</v>
      </c>
      <c r="T215" s="0">
        <v>12</v>
      </c>
      <c r="U215" s="0">
        <v>39</v>
      </c>
      <c r="V215" s="0">
        <v>157</v>
      </c>
      <c r="W215" s="1">
        <f>=HYPERLINK("10.175.1.14\MWEB.12\SEP\EntityDetails.10.175.1.14.MWEB.12.-wins-userde.157.xlsx", "&lt;Detail&gt;")</f>
      </c>
      <c r="X215" s="1">
        <f>=HYPERLINK("10.175.1.14\MWEB.12\SEP\MetricGraphs.SEP.10.175.1.14.MWEB.12.xlsx", "&lt;Metrics&gt;")</f>
      </c>
      <c r="Y215" s="0" t="s">
        <v>107</v>
      </c>
      <c r="Z215" s="0" t="s">
        <v>108</v>
      </c>
      <c r="AA215" s="0" t="s">
        <v>128</v>
      </c>
      <c r="AB215" s="0" t="s">
        <v>854</v>
      </c>
      <c r="AC215" s="0" t="s">
        <v>109</v>
      </c>
    </row>
    <row r="216">
      <c r="A216" s="0" t="s">
        <v>28</v>
      </c>
      <c r="B216" s="0" t="s">
        <v>30</v>
      </c>
      <c r="C216" s="0" t="s">
        <v>127</v>
      </c>
      <c r="D216" s="0" t="s">
        <v>555</v>
      </c>
      <c r="E216" s="0" t="s">
        <v>229</v>
      </c>
      <c r="F216" s="0">
        <v>0</v>
      </c>
      <c r="G216" s="0" t="s">
        <v>106</v>
      </c>
      <c r="H216" s="0">
        <v>0</v>
      </c>
      <c r="I216" s="0">
        <v>0</v>
      </c>
      <c r="J216" s="0">
        <v>0</v>
      </c>
      <c r="K216" s="0">
        <v>0</v>
      </c>
      <c r="L216" s="0">
        <v>0</v>
      </c>
      <c r="M216" s="0">
        <v>0</v>
      </c>
      <c r="N216" s="0" t="b">
        <v>0</v>
      </c>
      <c r="O216" s="2">
        <v>44613.583333333336</v>
      </c>
      <c r="P216" s="2">
        <v>44613.625</v>
      </c>
      <c r="Q216" s="2">
        <v>44613.208333333336</v>
      </c>
      <c r="R216" s="2">
        <v>44613.25</v>
      </c>
      <c r="S216" s="0">
        <v>60</v>
      </c>
      <c r="T216" s="0">
        <v>12</v>
      </c>
      <c r="U216" s="0">
        <v>39</v>
      </c>
      <c r="V216" s="0">
        <v>125</v>
      </c>
      <c r="W216" s="1">
        <f>=HYPERLINK("10.175.1.14\MWEB.12\SEP\EntityDetails.10.175.1.14.MWEB.12.-wins-WEB-IN.125.xlsx", "&lt;Detail&gt;")</f>
      </c>
      <c r="X216" s="1">
        <f>=HYPERLINK("10.175.1.14\MWEB.12\SEP\MetricGraphs.SEP.10.175.1.14.MWEB.12.xlsx", "&lt;Metrics&gt;")</f>
      </c>
      <c r="Y216" s="0" t="s">
        <v>107</v>
      </c>
      <c r="Z216" s="0" t="s">
        <v>108</v>
      </c>
      <c r="AA216" s="0" t="s">
        <v>128</v>
      </c>
      <c r="AB216" s="0" t="s">
        <v>855</v>
      </c>
      <c r="AC216" s="0" t="s">
        <v>109</v>
      </c>
    </row>
    <row r="217">
      <c r="A217" s="0" t="s">
        <v>28</v>
      </c>
      <c r="B217" s="0" t="s">
        <v>30</v>
      </c>
      <c r="C217" s="0" t="s">
        <v>149</v>
      </c>
      <c r="D217" s="0" t="s">
        <v>555</v>
      </c>
      <c r="E217" s="0" t="s">
        <v>229</v>
      </c>
      <c r="F217" s="0">
        <v>0</v>
      </c>
      <c r="G217" s="0" t="s">
        <v>106</v>
      </c>
      <c r="H217" s="0">
        <v>0</v>
      </c>
      <c r="I217" s="0">
        <v>0</v>
      </c>
      <c r="J217" s="0">
        <v>0</v>
      </c>
      <c r="K217" s="0">
        <v>0</v>
      </c>
      <c r="L217" s="0">
        <v>0</v>
      </c>
      <c r="M217" s="0">
        <v>0</v>
      </c>
      <c r="N217" s="0" t="b">
        <v>0</v>
      </c>
      <c r="O217" s="2">
        <v>44613.583333333336</v>
      </c>
      <c r="P217" s="2">
        <v>44613.625</v>
      </c>
      <c r="Q217" s="2">
        <v>44613.208333333336</v>
      </c>
      <c r="R217" s="2">
        <v>44613.25</v>
      </c>
      <c r="S217" s="0">
        <v>60</v>
      </c>
      <c r="T217" s="0">
        <v>12</v>
      </c>
      <c r="U217" s="0">
        <v>50</v>
      </c>
      <c r="V217" s="0">
        <v>2251</v>
      </c>
      <c r="W217" s="1">
        <f>=HYPERLINK("10.175.1.14\MWEB.12\SEP\EntityDetails.10.175.1.14.MWEB.12.-wins-WEB-IN.2251.xlsx", "&lt;Detail&gt;")</f>
      </c>
      <c r="X217" s="1">
        <f>=HYPERLINK("10.175.1.14\MWEB.12\SEP\MetricGraphs.SEP.10.175.1.14.MWEB.12.xlsx", "&lt;Metrics&gt;")</f>
      </c>
      <c r="Y217" s="0" t="s">
        <v>107</v>
      </c>
      <c r="Z217" s="0" t="s">
        <v>108</v>
      </c>
      <c r="AA217" s="0" t="s">
        <v>150</v>
      </c>
      <c r="AB217" s="0" t="s">
        <v>856</v>
      </c>
      <c r="AC217" s="0" t="s">
        <v>109</v>
      </c>
    </row>
    <row r="218">
      <c r="A218" s="0" t="s">
        <v>28</v>
      </c>
      <c r="B218" s="0" t="s">
        <v>30</v>
      </c>
      <c r="C218" s="0" t="s">
        <v>133</v>
      </c>
      <c r="D218" s="0" t="s">
        <v>857</v>
      </c>
      <c r="E218" s="0" t="s">
        <v>229</v>
      </c>
      <c r="F218" s="0">
        <v>0</v>
      </c>
      <c r="G218" s="0" t="s">
        <v>106</v>
      </c>
      <c r="H218" s="0">
        <v>0</v>
      </c>
      <c r="I218" s="0">
        <v>0</v>
      </c>
      <c r="J218" s="0">
        <v>0</v>
      </c>
      <c r="K218" s="0">
        <v>0</v>
      </c>
      <c r="L218" s="0">
        <v>0</v>
      </c>
      <c r="M218" s="0">
        <v>0</v>
      </c>
      <c r="N218" s="0" t="b">
        <v>0</v>
      </c>
      <c r="O218" s="2">
        <v>44613.583333333336</v>
      </c>
      <c r="P218" s="2">
        <v>44613.625</v>
      </c>
      <c r="Q218" s="2">
        <v>44613.208333333336</v>
      </c>
      <c r="R218" s="2">
        <v>44613.25</v>
      </c>
      <c r="S218" s="0">
        <v>60</v>
      </c>
      <c r="T218" s="0">
        <v>12</v>
      </c>
      <c r="U218" s="0">
        <v>36</v>
      </c>
      <c r="V218" s="0">
        <v>1244</v>
      </c>
      <c r="W218" s="1">
        <f>=HYPERLINK("10.175.1.14\MWEB.12\SEP\EntityDetails.10.175.1.14.MWEB.12.-zenworks-js.1244.xlsx", "&lt;Detail&gt;")</f>
      </c>
      <c r="X218" s="1">
        <f>=HYPERLINK("10.175.1.14\MWEB.12\SEP\MetricGraphs.SEP.10.175.1.14.MWEB.12.xlsx", "&lt;Metrics&gt;")</f>
      </c>
      <c r="Y218" s="0" t="s">
        <v>107</v>
      </c>
      <c r="Z218" s="0" t="s">
        <v>108</v>
      </c>
      <c r="AA218" s="0" t="s">
        <v>134</v>
      </c>
      <c r="AB218" s="0" t="s">
        <v>858</v>
      </c>
      <c r="AC218" s="0" t="s">
        <v>109</v>
      </c>
    </row>
    <row r="219">
      <c r="A219" s="0" t="s">
        <v>28</v>
      </c>
      <c r="B219" s="0" t="s">
        <v>30</v>
      </c>
      <c r="C219" s="0" t="s">
        <v>125</v>
      </c>
      <c r="D219" s="0" t="s">
        <v>859</v>
      </c>
      <c r="E219" s="0" t="s">
        <v>860</v>
      </c>
      <c r="F219" s="0">
        <v>0</v>
      </c>
      <c r="G219" s="0" t="s">
        <v>106</v>
      </c>
      <c r="H219" s="0">
        <v>0</v>
      </c>
      <c r="I219" s="0">
        <v>0</v>
      </c>
      <c r="J219" s="0">
        <v>0</v>
      </c>
      <c r="K219" s="0">
        <v>0</v>
      </c>
      <c r="L219" s="0">
        <v>0</v>
      </c>
      <c r="M219" s="0">
        <v>0</v>
      </c>
      <c r="N219" s="0" t="b">
        <v>0</v>
      </c>
      <c r="O219" s="2">
        <v>44613.583333333336</v>
      </c>
      <c r="P219" s="2">
        <v>44613.625</v>
      </c>
      <c r="Q219" s="2">
        <v>44613.208333333336</v>
      </c>
      <c r="R219" s="2">
        <v>44613.25</v>
      </c>
      <c r="S219" s="0">
        <v>60</v>
      </c>
      <c r="T219" s="0">
        <v>12</v>
      </c>
      <c r="U219" s="0">
        <v>42</v>
      </c>
      <c r="V219" s="0">
        <v>193</v>
      </c>
      <c r="W219" s="1">
        <f>=HYPERLINK("10.175.1.14\MWEB.12\SEP\EntityDetails.10.175.1.14.MWEB.12.CommThread.193.xlsx", "&lt;Detail&gt;")</f>
      </c>
      <c r="X219" s="1">
        <f>=HYPERLINK("10.175.1.14\MWEB.12\SEP\MetricGraphs.SEP.10.175.1.14.MWEB.12.xlsx", "&lt;Metrics&gt;")</f>
      </c>
      <c r="Y219" s="0" t="s">
        <v>107</v>
      </c>
      <c r="Z219" s="0" t="s">
        <v>108</v>
      </c>
      <c r="AA219" s="0" t="s">
        <v>126</v>
      </c>
      <c r="AB219" s="0" t="s">
        <v>861</v>
      </c>
      <c r="AC219" s="0" t="s">
        <v>109</v>
      </c>
    </row>
    <row r="220">
      <c r="A220" s="0" t="s">
        <v>28</v>
      </c>
      <c r="B220" s="0" t="s">
        <v>30</v>
      </c>
      <c r="C220" s="0" t="s">
        <v>125</v>
      </c>
      <c r="D220" s="0" t="s">
        <v>862</v>
      </c>
      <c r="E220" s="0" t="s">
        <v>860</v>
      </c>
      <c r="F220" s="0">
        <v>0</v>
      </c>
      <c r="G220" s="0" t="s">
        <v>106</v>
      </c>
      <c r="H220" s="0">
        <v>0</v>
      </c>
      <c r="I220" s="0">
        <v>0</v>
      </c>
      <c r="J220" s="0">
        <v>0</v>
      </c>
      <c r="K220" s="0">
        <v>0</v>
      </c>
      <c r="L220" s="0">
        <v>0</v>
      </c>
      <c r="M220" s="0">
        <v>0</v>
      </c>
      <c r="N220" s="0" t="b">
        <v>0</v>
      </c>
      <c r="O220" s="2">
        <v>44613.583333333336</v>
      </c>
      <c r="P220" s="2">
        <v>44613.625</v>
      </c>
      <c r="Q220" s="2">
        <v>44613.208333333336</v>
      </c>
      <c r="R220" s="2">
        <v>44613.25</v>
      </c>
      <c r="S220" s="0">
        <v>60</v>
      </c>
      <c r="T220" s="0">
        <v>12</v>
      </c>
      <c r="U220" s="0">
        <v>42</v>
      </c>
      <c r="V220" s="0">
        <v>223</v>
      </c>
      <c r="W220" s="1">
        <f>=HYPERLINK("10.175.1.14\MWEB.12\SEP\EntityDetails.10.175.1.14.MWEB.12.ServiceProce.223.xlsx", "&lt;Detail&gt;")</f>
      </c>
      <c r="X220" s="1">
        <f>=HYPERLINK("10.175.1.14\MWEB.12\SEP\MetricGraphs.SEP.10.175.1.14.MWEB.12.xlsx", "&lt;Metrics&gt;")</f>
      </c>
      <c r="Y220" s="0" t="s">
        <v>107</v>
      </c>
      <c r="Z220" s="0" t="s">
        <v>108</v>
      </c>
      <c r="AA220" s="0" t="s">
        <v>126</v>
      </c>
      <c r="AB220" s="0" t="s">
        <v>863</v>
      </c>
      <c r="AC220" s="0" t="s">
        <v>109</v>
      </c>
    </row>
    <row r="221">
      <c r="A221" s="0" t="s">
        <v>28</v>
      </c>
      <c r="B221" s="0" t="s">
        <v>30</v>
      </c>
      <c r="C221" s="0" t="s">
        <v>143</v>
      </c>
      <c r="D221" s="0" t="s">
        <v>864</v>
      </c>
      <c r="E221" s="0" t="s">
        <v>205</v>
      </c>
      <c r="F221" s="0">
        <v>0</v>
      </c>
      <c r="G221" s="0" t="s">
        <v>106</v>
      </c>
      <c r="H221" s="0">
        <v>0</v>
      </c>
      <c r="I221" s="0">
        <v>0</v>
      </c>
      <c r="J221" s="0">
        <v>0</v>
      </c>
      <c r="K221" s="0">
        <v>0</v>
      </c>
      <c r="L221" s="0">
        <v>0</v>
      </c>
      <c r="M221" s="0">
        <v>0</v>
      </c>
      <c r="N221" s="0" t="b">
        <v>0</v>
      </c>
      <c r="O221" s="2">
        <v>44613.583333333336</v>
      </c>
      <c r="P221" s="2">
        <v>44613.625</v>
      </c>
      <c r="Q221" s="2">
        <v>44613.208333333336</v>
      </c>
      <c r="R221" s="2">
        <v>44613.25</v>
      </c>
      <c r="S221" s="0">
        <v>60</v>
      </c>
      <c r="T221" s="0">
        <v>12</v>
      </c>
      <c r="U221" s="0">
        <v>43</v>
      </c>
      <c r="V221" s="0">
        <v>436</v>
      </c>
      <c r="W221" s="1">
        <f>=HYPERLINK("10.175.1.14\MWEB.12\SEP\EntityDetails.10.175.1.14.MWEB.12.WlcFgw7Recov.436.xlsx", "&lt;Detail&gt;")</f>
      </c>
      <c r="X221" s="1">
        <f>=HYPERLINK("10.175.1.14\MWEB.12\SEP\MetricGraphs.SEP.10.175.1.14.MWEB.12.xlsx", "&lt;Metrics&gt;")</f>
      </c>
      <c r="Y221" s="0" t="s">
        <v>107</v>
      </c>
      <c r="Z221" s="0" t="s">
        <v>108</v>
      </c>
      <c r="AA221" s="0" t="s">
        <v>144</v>
      </c>
      <c r="AB221" s="0" t="s">
        <v>865</v>
      </c>
      <c r="AC221" s="0" t="s">
        <v>109</v>
      </c>
    </row>
    <row r="222">
      <c r="A222" s="0" t="s">
        <v>28</v>
      </c>
      <c r="B222" s="0" t="s">
        <v>30</v>
      </c>
      <c r="C222" s="0" t="s">
        <v>163</v>
      </c>
      <c r="D222" s="0" t="s">
        <v>864</v>
      </c>
      <c r="E222" s="0" t="s">
        <v>205</v>
      </c>
      <c r="F222" s="0">
        <v>0</v>
      </c>
      <c r="G222" s="0" t="s">
        <v>106</v>
      </c>
      <c r="H222" s="0">
        <v>0</v>
      </c>
      <c r="I222" s="0">
        <v>0</v>
      </c>
      <c r="J222" s="0">
        <v>0</v>
      </c>
      <c r="K222" s="0">
        <v>0</v>
      </c>
      <c r="L222" s="0">
        <v>0</v>
      </c>
      <c r="M222" s="0">
        <v>0</v>
      </c>
      <c r="N222" s="0" t="b">
        <v>0</v>
      </c>
      <c r="O222" s="2">
        <v>44613.583333333336</v>
      </c>
      <c r="P222" s="2">
        <v>44613.625</v>
      </c>
      <c r="Q222" s="2">
        <v>44613.208333333336</v>
      </c>
      <c r="R222" s="2">
        <v>44613.25</v>
      </c>
      <c r="S222" s="0">
        <v>60</v>
      </c>
      <c r="T222" s="0">
        <v>12</v>
      </c>
      <c r="U222" s="0">
        <v>55</v>
      </c>
      <c r="V222" s="0">
        <v>3184</v>
      </c>
      <c r="W222" s="1">
        <f>=HYPERLINK("10.175.1.14\MWEB.12\SEP\EntityDetails.10.175.1.14.MWEB.12.WlcFgw7Recov.3184.xlsx", "&lt;Detail&gt;")</f>
      </c>
      <c r="X222" s="1">
        <f>=HYPERLINK("10.175.1.14\MWEB.12\SEP\MetricGraphs.SEP.10.175.1.14.MWEB.12.xlsx", "&lt;Metrics&gt;")</f>
      </c>
      <c r="Y222" s="0" t="s">
        <v>107</v>
      </c>
      <c r="Z222" s="0" t="s">
        <v>108</v>
      </c>
      <c r="AA222" s="0" t="s">
        <v>164</v>
      </c>
      <c r="AB222" s="0" t="s">
        <v>866</v>
      </c>
      <c r="AC222" s="0" t="s">
        <v>109</v>
      </c>
    </row>
  </sheetData>
  <conditionalFormatting sqref="M5:M222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22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22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22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2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  <col min="5" max="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=HYPERLINK("#'9.SEPs'!A1", "&lt;Go&gt;")</f>
      </c>
    </row>
  </sheetData>
  <headerFooter/>
</worksheet>
</file>

<file path=xl/worksheets/sheet24.xml><?xml version="1.0" encoding="utf-8"?>
<worksheet xmlns:r="http://schemas.openxmlformats.org/officeDocument/2006/relationships" xmlns="http://schemas.openxmlformats.org/spreadsheetml/2006/main">
  <dimension ref="A1:W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=HYPERLINK("#'10.Errors.Perf'!A1",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867</v>
      </c>
      <c r="E4" s="0" t="s">
        <v>868</v>
      </c>
      <c r="F4" s="0" t="s">
        <v>89</v>
      </c>
      <c r="G4" s="0" t="s">
        <v>90</v>
      </c>
      <c r="H4" s="0" t="s">
        <v>96</v>
      </c>
      <c r="I4" s="0" t="s">
        <v>4</v>
      </c>
      <c r="J4" s="0" t="s">
        <v>5</v>
      </c>
      <c r="K4" s="0" t="s">
        <v>97</v>
      </c>
      <c r="L4" s="0" t="s">
        <v>98</v>
      </c>
      <c r="M4" s="0" t="s">
        <v>99</v>
      </c>
      <c r="N4" s="0" t="s">
        <v>26</v>
      </c>
      <c r="O4" s="0" t="s">
        <v>118</v>
      </c>
      <c r="P4" s="0" t="s">
        <v>869</v>
      </c>
      <c r="Q4" s="0" t="s">
        <v>100</v>
      </c>
      <c r="R4" s="0" t="s">
        <v>101</v>
      </c>
      <c r="S4" s="0" t="s">
        <v>78</v>
      </c>
      <c r="T4" s="0" t="s">
        <v>104</v>
      </c>
      <c r="U4" s="0" t="s">
        <v>119</v>
      </c>
      <c r="V4" s="0" t="s">
        <v>870</v>
      </c>
      <c r="W4" s="0" t="s">
        <v>105</v>
      </c>
    </row>
  </sheetData>
  <headerFooter/>
</worksheet>
</file>

<file path=xl/worksheets/sheet25.xml><?xml version="1.0" encoding="utf-8"?>
<worksheet xmlns:r="http://schemas.openxmlformats.org/officeDocument/2006/relationships" xmlns="http://schemas.openxmlformats.org/spreadsheetml/2006/main">
  <dimension ref="A1:W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=HYPERLINK("#'10.Errors.Perf'!A1", "&lt;Go&gt;")</f>
      </c>
    </row>
    <row r="4">
      <c r="A4" s="0" t="s">
        <v>23</v>
      </c>
      <c r="B4" s="0" t="s">
        <v>83</v>
      </c>
      <c r="C4" s="0" t="s">
        <v>112</v>
      </c>
      <c r="D4" s="0" t="s">
        <v>867</v>
      </c>
      <c r="E4" s="0" t="s">
        <v>868</v>
      </c>
      <c r="F4" s="0" t="s">
        <v>89</v>
      </c>
      <c r="G4" s="0" t="s">
        <v>90</v>
      </c>
      <c r="H4" s="0" t="s">
        <v>96</v>
      </c>
      <c r="I4" s="0" t="s">
        <v>4</v>
      </c>
      <c r="J4" s="0" t="s">
        <v>5</v>
      </c>
      <c r="K4" s="0" t="s">
        <v>97</v>
      </c>
      <c r="L4" s="0" t="s">
        <v>98</v>
      </c>
      <c r="M4" s="0" t="s">
        <v>99</v>
      </c>
      <c r="N4" s="0" t="s">
        <v>26</v>
      </c>
      <c r="O4" s="0" t="s">
        <v>118</v>
      </c>
      <c r="P4" s="0" t="s">
        <v>869</v>
      </c>
      <c r="Q4" s="0" t="s">
        <v>100</v>
      </c>
      <c r="R4" s="0" t="s">
        <v>101</v>
      </c>
      <c r="S4" s="0" t="s">
        <v>78</v>
      </c>
      <c r="T4" s="0" t="s">
        <v>104</v>
      </c>
      <c r="U4" s="0" t="s">
        <v>119</v>
      </c>
      <c r="V4" s="0" t="s">
        <v>870</v>
      </c>
      <c r="W4" s="0" t="s">
        <v>105</v>
      </c>
    </row>
  </sheetData>
  <headerFooter/>
</worksheet>
</file>

<file path=xl/worksheets/sheet2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=HYPERLINK("#'10.Errors'!A1", "&lt;Go&gt;")</f>
      </c>
    </row>
  </sheetData>
  <headerFooter/>
</worksheet>
</file>

<file path=xl/worksheets/sheet27.xml><?xml version="1.0" encoding="utf-8"?>
<worksheet xmlns:r="http://schemas.openxmlformats.org/officeDocument/2006/relationships" xmlns="http://schemas.openxmlformats.org/spreadsheetml/2006/main">
  <dimension ref="A1:Y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=HYPERLINK("#'11.Information Points.Perf'!A1", "&lt;Go&gt;")</f>
      </c>
    </row>
    <row r="4">
      <c r="A4" s="0" t="s">
        <v>23</v>
      </c>
      <c r="B4" s="0" t="s">
        <v>83</v>
      </c>
      <c r="C4" s="0" t="s">
        <v>871</v>
      </c>
      <c r="D4" s="0" t="s">
        <v>872</v>
      </c>
      <c r="E4" s="0" t="s">
        <v>84</v>
      </c>
      <c r="F4" s="0" t="s">
        <v>85</v>
      </c>
      <c r="G4" s="0" t="s">
        <v>86</v>
      </c>
      <c r="H4" s="0" t="s">
        <v>87</v>
      </c>
      <c r="I4" s="0" t="s">
        <v>88</v>
      </c>
      <c r="J4" s="0" t="s">
        <v>89</v>
      </c>
      <c r="K4" s="0" t="s">
        <v>90</v>
      </c>
      <c r="L4" s="0" t="s">
        <v>95</v>
      </c>
      <c r="M4" s="0" t="s">
        <v>96</v>
      </c>
      <c r="N4" s="0" t="s">
        <v>4</v>
      </c>
      <c r="O4" s="0" t="s">
        <v>5</v>
      </c>
      <c r="P4" s="0" t="s">
        <v>97</v>
      </c>
      <c r="Q4" s="0" t="s">
        <v>98</v>
      </c>
      <c r="R4" s="0" t="s">
        <v>99</v>
      </c>
      <c r="S4" s="0" t="s">
        <v>26</v>
      </c>
      <c r="T4" s="0" t="s">
        <v>873</v>
      </c>
      <c r="U4" s="0" t="s">
        <v>101</v>
      </c>
      <c r="V4" s="0" t="s">
        <v>78</v>
      </c>
      <c r="W4" s="0" t="s">
        <v>104</v>
      </c>
      <c r="X4" s="0" t="s">
        <v>874</v>
      </c>
      <c r="Y4" s="0" t="s">
        <v>105</v>
      </c>
    </row>
  </sheetData>
  <headerFooter/>
</worksheet>
</file>

<file path=xl/worksheets/sheet28.xml><?xml version="1.0" encoding="utf-8"?>
<worksheet xmlns:r="http://schemas.openxmlformats.org/officeDocument/2006/relationships" xmlns="http://schemas.openxmlformats.org/spreadsheetml/2006/main">
  <dimension ref="A1:Y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=HYPERLINK("#'11.Information Points.Perf'!A1", "&lt;Go&gt;")</f>
      </c>
    </row>
    <row r="4">
      <c r="A4" s="0" t="s">
        <v>23</v>
      </c>
      <c r="B4" s="0" t="s">
        <v>83</v>
      </c>
      <c r="C4" s="0" t="s">
        <v>871</v>
      </c>
      <c r="D4" s="0" t="s">
        <v>872</v>
      </c>
      <c r="E4" s="0" t="s">
        <v>84</v>
      </c>
      <c r="F4" s="0" t="s">
        <v>85</v>
      </c>
      <c r="G4" s="0" t="s">
        <v>86</v>
      </c>
      <c r="H4" s="0" t="s">
        <v>87</v>
      </c>
      <c r="I4" s="0" t="s">
        <v>88</v>
      </c>
      <c r="J4" s="0" t="s">
        <v>89</v>
      </c>
      <c r="K4" s="0" t="s">
        <v>90</v>
      </c>
      <c r="L4" s="0" t="s">
        <v>95</v>
      </c>
      <c r="M4" s="0" t="s">
        <v>96</v>
      </c>
      <c r="N4" s="0" t="s">
        <v>4</v>
      </c>
      <c r="O4" s="0" t="s">
        <v>5</v>
      </c>
      <c r="P4" s="0" t="s">
        <v>97</v>
      </c>
      <c r="Q4" s="0" t="s">
        <v>98</v>
      </c>
      <c r="R4" s="0" t="s">
        <v>99</v>
      </c>
      <c r="S4" s="0" t="s">
        <v>26</v>
      </c>
      <c r="T4" s="0" t="s">
        <v>873</v>
      </c>
      <c r="U4" s="0" t="s">
        <v>101</v>
      </c>
      <c r="V4" s="0" t="s">
        <v>78</v>
      </c>
      <c r="W4" s="0" t="s">
        <v>104</v>
      </c>
      <c r="X4" s="0" t="s">
        <v>874</v>
      </c>
      <c r="Y4" s="0" t="s">
        <v>105</v>
      </c>
    </row>
  </sheetData>
  <headerFooter/>
</worksheet>
</file>

<file path=xl/worksheets/sheet2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=HYPERLINK("#'11.Information Points'!A1", "&lt;Go&gt;")</f>
      </c>
    </row>
  </sheetData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69</v>
      </c>
      <c r="D4" s="0" t="s">
        <v>70</v>
      </c>
      <c r="E4" s="0" t="s">
        <v>71</v>
      </c>
      <c r="F4" s="0" t="s">
        <v>72</v>
      </c>
      <c r="G4" s="0" t="s">
        <v>73</v>
      </c>
      <c r="H4" s="0" t="s">
        <v>74</v>
      </c>
      <c r="I4" s="0" t="s">
        <v>75</v>
      </c>
      <c r="J4" s="0" t="s">
        <v>76</v>
      </c>
      <c r="K4" s="0" t="s">
        <v>77</v>
      </c>
      <c r="L4" s="0" t="s">
        <v>78</v>
      </c>
    </row>
    <row r="5">
      <c r="A5" s="0" t="s">
        <v>28</v>
      </c>
      <c r="B5" s="0" t="s">
        <v>79</v>
      </c>
      <c r="C5" s="0" t="s">
        <v>80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81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AB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16" max="16" width="20" customWidth="1"/>
    <col min="17" max="17" width="20" customWidth="1"/>
    <col min="18" max="18" width="20" customWidth="1"/>
    <col min="19" max="19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=HYPERLINK("#'4.Applications.Perf'!A1", "&lt;Go&gt;")</f>
      </c>
    </row>
    <row r="4">
      <c r="A4" s="0" t="s">
        <v>23</v>
      </c>
      <c r="B4" s="0" t="s">
        <v>83</v>
      </c>
      <c r="C4" s="0" t="s">
        <v>84</v>
      </c>
      <c r="D4" s="0" t="s">
        <v>85</v>
      </c>
      <c r="E4" s="0" t="s">
        <v>86</v>
      </c>
      <c r="F4" s="0" t="s">
        <v>87</v>
      </c>
      <c r="G4" s="0" t="s">
        <v>88</v>
      </c>
      <c r="H4" s="0" t="s">
        <v>89</v>
      </c>
      <c r="I4" s="0" t="s">
        <v>90</v>
      </c>
      <c r="J4" s="0" t="s">
        <v>91</v>
      </c>
      <c r="K4" s="0" t="s">
        <v>92</v>
      </c>
      <c r="L4" s="0" t="s">
        <v>93</v>
      </c>
      <c r="M4" s="0" t="s">
        <v>94</v>
      </c>
      <c r="N4" s="0" t="s">
        <v>95</v>
      </c>
      <c r="O4" s="0" t="s">
        <v>96</v>
      </c>
      <c r="P4" s="0" t="s">
        <v>4</v>
      </c>
      <c r="Q4" s="0" t="s">
        <v>5</v>
      </c>
      <c r="R4" s="0" t="s">
        <v>97</v>
      </c>
      <c r="S4" s="0" t="s">
        <v>98</v>
      </c>
      <c r="T4" s="0" t="s">
        <v>99</v>
      </c>
      <c r="U4" s="0" t="s">
        <v>26</v>
      </c>
      <c r="V4" s="0" t="s">
        <v>100</v>
      </c>
      <c r="W4" s="0" t="s">
        <v>101</v>
      </c>
      <c r="X4" s="0" t="s">
        <v>102</v>
      </c>
      <c r="Y4" s="0" t="s">
        <v>103</v>
      </c>
      <c r="Z4" s="0" t="s">
        <v>78</v>
      </c>
      <c r="AA4" s="0" t="s">
        <v>104</v>
      </c>
      <c r="AB4" s="0" t="s">
        <v>105</v>
      </c>
    </row>
    <row r="5">
      <c r="A5" s="0" t="s">
        <v>28</v>
      </c>
      <c r="B5" s="0" t="s">
        <v>30</v>
      </c>
      <c r="C5" s="0">
        <v>0</v>
      </c>
      <c r="D5" s="0" t="s">
        <v>106</v>
      </c>
      <c r="E5" s="0">
        <v>0</v>
      </c>
      <c r="F5" s="0">
        <v>0</v>
      </c>
      <c r="G5" s="0">
        <v>0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 t="b">
        <v>0</v>
      </c>
      <c r="P5" s="2">
        <v>44613.583333333336</v>
      </c>
      <c r="Q5" s="2">
        <v>44613.625</v>
      </c>
      <c r="R5" s="2">
        <v>44613.208333333336</v>
      </c>
      <c r="S5" s="2">
        <v>44613.25</v>
      </c>
      <c r="T5" s="0">
        <v>60</v>
      </c>
      <c r="U5" s="0">
        <v>12</v>
      </c>
      <c r="V5" s="1">
        <f>=HYPERLINK("10.175.1.14\MWEB.12\APP\EntityDetails.10.175.1.14.MWEB.12.xlsx", "&lt;Detail&gt;")</f>
      </c>
      <c r="W5" s="1">
        <f>=HYPERLINK("10.175.1.14\MWEB.12\APP\MetricGraphs.APP.10.175.1.14.MWEB.12.xlsx", "&lt;Metrics&gt;")</f>
      </c>
      <c r="X5" s="1">
        <f>=HYPERLINK("10.175.1.14\MWEB.12\APP\FlameGraph.Application.10.175.1.14.MWEB.12.svg", "&lt;FlGraph&gt;")</f>
      </c>
      <c r="Y5" s="1">
        <f>=HYPERLINK("10.175.1.14\MWEB.12\APP\FlameChart.Application.10.175.1.14.MWEB.12.svg", "&lt;FlChart&gt;")</f>
      </c>
      <c r="Z5" s="0" t="s">
        <v>107</v>
      </c>
      <c r="AA5" s="0" t="s">
        <v>108</v>
      </c>
      <c r="AB5" s="0" t="s">
        <v>109</v>
      </c>
    </row>
  </sheetData>
  <conditionalFormatting sqref="N5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C5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G5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I5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AB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16" max="16" width="20" customWidth="1"/>
    <col min="17" max="17" width="20" customWidth="1"/>
    <col min="18" max="18" width="20" customWidth="1"/>
    <col min="19" max="19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=HYPERLINK("#'4.Applications.Perf'!A1", "&lt;Go&gt;")</f>
      </c>
    </row>
    <row r="4">
      <c r="A4" s="0" t="s">
        <v>23</v>
      </c>
      <c r="B4" s="0" t="s">
        <v>83</v>
      </c>
      <c r="C4" s="0" t="s">
        <v>84</v>
      </c>
      <c r="D4" s="0" t="s">
        <v>85</v>
      </c>
      <c r="E4" s="0" t="s">
        <v>86</v>
      </c>
      <c r="F4" s="0" t="s">
        <v>87</v>
      </c>
      <c r="G4" s="0" t="s">
        <v>88</v>
      </c>
      <c r="H4" s="0" t="s">
        <v>89</v>
      </c>
      <c r="I4" s="0" t="s">
        <v>90</v>
      </c>
      <c r="J4" s="0" t="s">
        <v>91</v>
      </c>
      <c r="K4" s="0" t="s">
        <v>92</v>
      </c>
      <c r="L4" s="0" t="s">
        <v>93</v>
      </c>
      <c r="M4" s="0" t="s">
        <v>94</v>
      </c>
      <c r="N4" s="0" t="s">
        <v>95</v>
      </c>
      <c r="O4" s="0" t="s">
        <v>96</v>
      </c>
      <c r="P4" s="0" t="s">
        <v>4</v>
      </c>
      <c r="Q4" s="0" t="s">
        <v>5</v>
      </c>
      <c r="R4" s="0" t="s">
        <v>97</v>
      </c>
      <c r="S4" s="0" t="s">
        <v>98</v>
      </c>
      <c r="T4" s="0" t="s">
        <v>99</v>
      </c>
      <c r="U4" s="0" t="s">
        <v>26</v>
      </c>
      <c r="V4" s="0" t="s">
        <v>100</v>
      </c>
      <c r="W4" s="0" t="s">
        <v>101</v>
      </c>
      <c r="X4" s="0" t="s">
        <v>102</v>
      </c>
      <c r="Y4" s="0" t="s">
        <v>103</v>
      </c>
      <c r="Z4" s="0" t="s">
        <v>78</v>
      </c>
      <c r="AA4" s="0" t="s">
        <v>104</v>
      </c>
      <c r="AB4" s="0" t="s">
        <v>105</v>
      </c>
    </row>
    <row r="5">
      <c r="A5" s="0" t="s">
        <v>28</v>
      </c>
      <c r="B5" s="0" t="s">
        <v>30</v>
      </c>
      <c r="C5" s="0">
        <v>0</v>
      </c>
      <c r="D5" s="0" t="s">
        <v>106</v>
      </c>
      <c r="E5" s="0">
        <v>0</v>
      </c>
      <c r="F5" s="0">
        <v>0</v>
      </c>
      <c r="G5" s="0">
        <v>0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 t="b">
        <v>0</v>
      </c>
      <c r="P5" s="2">
        <v>44613.583333333336</v>
      </c>
      <c r="Q5" s="2">
        <v>44613.625</v>
      </c>
      <c r="R5" s="2">
        <v>44613.208333333336</v>
      </c>
      <c r="S5" s="2">
        <v>44613.25</v>
      </c>
      <c r="T5" s="0">
        <v>60</v>
      </c>
      <c r="U5" s="0">
        <v>12</v>
      </c>
      <c r="V5" s="1">
        <f>=HYPERLINK("10.175.1.14\MWEB.12\APP\EntityDetails.10.175.1.14.MWEB.12.xlsx", "&lt;Detail&gt;")</f>
      </c>
      <c r="W5" s="1">
        <f>=HYPERLINK("10.175.1.14\MWEB.12\APP\MetricGraphs.APP.10.175.1.14.MWEB.12.xlsx", "&lt;Metrics&gt;")</f>
      </c>
      <c r="X5" s="1">
        <f>=HYPERLINK("10.175.1.14\MWEB.12\APP\FlameGraph.Application.10.175.1.14.MWEB.12.svg", "&lt;FlGraph&gt;")</f>
      </c>
      <c r="Y5" s="1">
        <f>=HYPERLINK("10.175.1.14\MWEB.12\APP\FlameChart.Application.10.175.1.14.MWEB.12.svg", "&lt;FlChart&gt;")</f>
      </c>
      <c r="Z5" s="0" t="s">
        <v>107</v>
      </c>
      <c r="AA5" s="0" t="s">
        <v>108</v>
      </c>
      <c r="AB5" s="0" t="s">
        <v>109</v>
      </c>
    </row>
  </sheetData>
  <conditionalFormatting sqref="N5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C5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G5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I5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=HYPERLINK("#'4.Applications'!A1", "&lt;Go&gt;")</f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AJ2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5" customWidth="1"/>
    <col min="5" max="5" width="25" customWidth="1"/>
    <col min="22" max="22" width="20" customWidth="1"/>
    <col min="23" max="23" width="20" customWidth="1"/>
    <col min="24" max="24" width="20" customWidth="1"/>
    <col min="25" max="2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=HYPERLINK("#'5.Tiers.Perf'!A1", "&lt;Go&gt;")</f>
      </c>
    </row>
    <row r="3">
      <c r="A3" s="0" t="s">
        <v>111</v>
      </c>
      <c r="B3" s="1">
        <f>=HYPERLINK("#'5.Tiers.Availability'!A1", "&lt;Go&gt;")</f>
      </c>
    </row>
    <row r="4">
      <c r="A4" s="0" t="s">
        <v>23</v>
      </c>
      <c r="B4" s="0" t="s">
        <v>83</v>
      </c>
      <c r="C4" s="0" t="s">
        <v>112</v>
      </c>
      <c r="D4" s="0" t="s">
        <v>113</v>
      </c>
      <c r="E4" s="0" t="s">
        <v>114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91</v>
      </c>
      <c r="N4" s="0" t="s">
        <v>92</v>
      </c>
      <c r="O4" s="0" t="s">
        <v>93</v>
      </c>
      <c r="P4" s="0" t="s">
        <v>94</v>
      </c>
      <c r="Q4" s="0" t="s">
        <v>95</v>
      </c>
      <c r="R4" s="0" t="s">
        <v>115</v>
      </c>
      <c r="S4" s="0" t="s">
        <v>116</v>
      </c>
      <c r="T4" s="0" t="s">
        <v>117</v>
      </c>
      <c r="U4" s="0" t="s">
        <v>96</v>
      </c>
      <c r="V4" s="0" t="s">
        <v>4</v>
      </c>
      <c r="W4" s="0" t="s">
        <v>5</v>
      </c>
      <c r="X4" s="0" t="s">
        <v>97</v>
      </c>
      <c r="Y4" s="0" t="s">
        <v>98</v>
      </c>
      <c r="Z4" s="0" t="s">
        <v>99</v>
      </c>
      <c r="AA4" s="0" t="s">
        <v>26</v>
      </c>
      <c r="AB4" s="0" t="s">
        <v>118</v>
      </c>
      <c r="AC4" s="0" t="s">
        <v>100</v>
      </c>
      <c r="AD4" s="0" t="s">
        <v>101</v>
      </c>
      <c r="AE4" s="0" t="s">
        <v>102</v>
      </c>
      <c r="AF4" s="0" t="s">
        <v>103</v>
      </c>
      <c r="AG4" s="0" t="s">
        <v>78</v>
      </c>
      <c r="AH4" s="0" t="s">
        <v>104</v>
      </c>
      <c r="AI4" s="0" t="s">
        <v>119</v>
      </c>
      <c r="AJ4" s="0" t="s">
        <v>105</v>
      </c>
    </row>
    <row r="5">
      <c r="A5" s="0" t="s">
        <v>28</v>
      </c>
      <c r="B5" s="0" t="s">
        <v>30</v>
      </c>
      <c r="C5" s="0" t="s">
        <v>120</v>
      </c>
      <c r="D5" s="0" t="s">
        <v>121</v>
      </c>
      <c r="E5" s="0" t="s">
        <v>122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>
        <v>0</v>
      </c>
      <c r="P5" s="0">
        <v>0</v>
      </c>
      <c r="Q5" s="0">
        <v>0</v>
      </c>
      <c r="R5" s="0">
        <v>1</v>
      </c>
      <c r="S5" s="0">
        <v>0</v>
      </c>
      <c r="T5" s="0">
        <v>1</v>
      </c>
      <c r="U5" s="0" t="b">
        <v>0</v>
      </c>
      <c r="V5" s="2">
        <v>44613.583333333336</v>
      </c>
      <c r="W5" s="2">
        <v>44613.625</v>
      </c>
      <c r="X5" s="2">
        <v>44613.208333333336</v>
      </c>
      <c r="Y5" s="2">
        <v>44613.25</v>
      </c>
      <c r="Z5" s="0">
        <v>60</v>
      </c>
      <c r="AA5" s="0">
        <v>12</v>
      </c>
      <c r="AB5" s="0">
        <v>33</v>
      </c>
      <c r="AC5" s="1">
        <f>=HYPERLINK("10.175.1.14\MWEB.12\TIER\EntityDetails.10.175.1.14.MWEB.12.Extention.33.xlsx", "&lt;Detail&gt;")</f>
      </c>
      <c r="AD5" s="1">
        <f>=HYPERLINK("10.175.1.14\MWEB.12\TIER\MetricGraphs.TIER.10.175.1.14.MWEB.12.xlsx", "&lt;Metrics&gt;")</f>
      </c>
      <c r="AE5" s="1">
        <f>=HYPERLINK("10.175.1.14\MWEB.12\TIER\FlameGraph.Tier.10.175.1.14.MWEB.12.Extention.33.svg", "&lt;FlGraph&gt;")</f>
      </c>
      <c r="AF5" s="1">
        <f>=HYPERLINK("10.175.1.14\MWEB.12\TIER\FlameChart.Tier.10.175.1.14.MWEB.12.Extention.33.svg", "&lt;FlChart&gt;")</f>
      </c>
      <c r="AG5" s="0" t="s">
        <v>107</v>
      </c>
      <c r="AH5" s="0" t="s">
        <v>108</v>
      </c>
      <c r="AI5" s="0" t="s">
        <v>123</v>
      </c>
      <c r="AJ5" s="0" t="s">
        <v>124</v>
      </c>
    </row>
    <row r="6">
      <c r="A6" s="0" t="s">
        <v>28</v>
      </c>
      <c r="B6" s="0" t="s">
        <v>30</v>
      </c>
      <c r="C6" s="0" t="s">
        <v>125</v>
      </c>
      <c r="D6" s="0" t="s">
        <v>121</v>
      </c>
      <c r="E6" s="0" t="s">
        <v>122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>
        <v>0</v>
      </c>
      <c r="O6" s="0">
        <v>0</v>
      </c>
      <c r="P6" s="0">
        <v>0</v>
      </c>
      <c r="Q6" s="0">
        <v>0</v>
      </c>
      <c r="R6" s="0">
        <v>0</v>
      </c>
      <c r="S6" s="0">
        <v>0</v>
      </c>
      <c r="T6" s="0">
        <v>0</v>
      </c>
      <c r="U6" s="0" t="b">
        <v>0</v>
      </c>
      <c r="V6" s="2">
        <v>44613.583333333336</v>
      </c>
      <c r="W6" s="2">
        <v>44613.625</v>
      </c>
      <c r="X6" s="2">
        <v>44613.208333333336</v>
      </c>
      <c r="Y6" s="2">
        <v>44613.25</v>
      </c>
      <c r="Z6" s="0">
        <v>60</v>
      </c>
      <c r="AA6" s="0">
        <v>12</v>
      </c>
      <c r="AB6" s="0">
        <v>42</v>
      </c>
      <c r="AC6" s="1">
        <f>=HYPERLINK("10.175.1.14\MWEB.12\TIER\EntityDetails.10.175.1.14.MWEB.12.shmweb0x0am-.42.xlsx", "&lt;Detail&gt;")</f>
      </c>
      <c r="AD6" s="1">
        <f>=HYPERLINK("10.175.1.14\MWEB.12\TIER\MetricGraphs.TIER.10.175.1.14.MWEB.12.xlsx", "&lt;Metrics&gt;")</f>
      </c>
      <c r="AE6" s="1">
        <f>=HYPERLINK("10.175.1.14\MWEB.12\TIER\FlameGraph.Tier.10.175.1.14.MWEB.12.shmweb0x0am-.42.svg", "&lt;FlGraph&gt;")</f>
      </c>
      <c r="AF6" s="1">
        <f>=HYPERLINK("10.175.1.14\MWEB.12\TIER\FlameChart.Tier.10.175.1.14.MWEB.12.shmweb0x0am-.42.svg", "&lt;FlChart&gt;")</f>
      </c>
      <c r="AG6" s="0" t="s">
        <v>107</v>
      </c>
      <c r="AH6" s="0" t="s">
        <v>108</v>
      </c>
      <c r="AI6" s="0" t="s">
        <v>126</v>
      </c>
      <c r="AJ6" s="0" t="s">
        <v>109</v>
      </c>
    </row>
    <row r="7">
      <c r="A7" s="0" t="s">
        <v>28</v>
      </c>
      <c r="B7" s="0" t="s">
        <v>30</v>
      </c>
      <c r="C7" s="0" t="s">
        <v>127</v>
      </c>
      <c r="D7" s="0" t="s">
        <v>121</v>
      </c>
      <c r="E7" s="0" t="s">
        <v>122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>
        <v>0</v>
      </c>
      <c r="O7" s="0">
        <v>0</v>
      </c>
      <c r="P7" s="0">
        <v>0</v>
      </c>
      <c r="Q7" s="0">
        <v>0</v>
      </c>
      <c r="R7" s="0">
        <v>0</v>
      </c>
      <c r="S7" s="0">
        <v>0</v>
      </c>
      <c r="T7" s="0">
        <v>0</v>
      </c>
      <c r="U7" s="0" t="b">
        <v>0</v>
      </c>
      <c r="V7" s="2">
        <v>44613.583333333336</v>
      </c>
      <c r="W7" s="2">
        <v>44613.625</v>
      </c>
      <c r="X7" s="2">
        <v>44613.208333333336</v>
      </c>
      <c r="Y7" s="2">
        <v>44613.25</v>
      </c>
      <c r="Z7" s="0">
        <v>60</v>
      </c>
      <c r="AA7" s="0">
        <v>12</v>
      </c>
      <c r="AB7" s="0">
        <v>39</v>
      </c>
      <c r="AC7" s="1">
        <f>=HYPERLINK("10.175.1.14\MWEB.12\TIER\EntityDetails.10.175.1.14.MWEB.12.shmweb0x0an-.39.xlsx", "&lt;Detail&gt;")</f>
      </c>
      <c r="AD7" s="1">
        <f>=HYPERLINK("10.175.1.14\MWEB.12\TIER\MetricGraphs.TIER.10.175.1.14.MWEB.12.xlsx", "&lt;Metrics&gt;")</f>
      </c>
      <c r="AE7" s="1">
        <f>=HYPERLINK("10.175.1.14\MWEB.12\TIER\FlameGraph.Tier.10.175.1.14.MWEB.12.shmweb0x0an-.39.svg", "&lt;FlGraph&gt;")</f>
      </c>
      <c r="AF7" s="1">
        <f>=HYPERLINK("10.175.1.14\MWEB.12\TIER\FlameChart.Tier.10.175.1.14.MWEB.12.shmweb0x0an-.39.svg", "&lt;FlChart&gt;")</f>
      </c>
      <c r="AG7" s="0" t="s">
        <v>107</v>
      </c>
      <c r="AH7" s="0" t="s">
        <v>108</v>
      </c>
      <c r="AI7" s="0" t="s">
        <v>128</v>
      </c>
      <c r="AJ7" s="0" t="s">
        <v>109</v>
      </c>
    </row>
    <row r="8">
      <c r="A8" s="0" t="s">
        <v>28</v>
      </c>
      <c r="B8" s="0" t="s">
        <v>30</v>
      </c>
      <c r="C8" s="0" t="s">
        <v>129</v>
      </c>
      <c r="D8" s="0" t="s">
        <v>121</v>
      </c>
      <c r="E8" s="0" t="s">
        <v>122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>
        <v>0</v>
      </c>
      <c r="O8" s="0">
        <v>0</v>
      </c>
      <c r="P8" s="0">
        <v>0</v>
      </c>
      <c r="Q8" s="0">
        <v>0</v>
      </c>
      <c r="R8" s="0">
        <v>0</v>
      </c>
      <c r="S8" s="0">
        <v>0</v>
      </c>
      <c r="T8" s="0">
        <v>0</v>
      </c>
      <c r="U8" s="0" t="b">
        <v>0</v>
      </c>
      <c r="V8" s="2">
        <v>44613.583333333336</v>
      </c>
      <c r="W8" s="2">
        <v>44613.625</v>
      </c>
      <c r="X8" s="2">
        <v>44613.208333333336</v>
      </c>
      <c r="Y8" s="2">
        <v>44613.25</v>
      </c>
      <c r="Z8" s="0">
        <v>60</v>
      </c>
      <c r="AA8" s="0">
        <v>12</v>
      </c>
      <c r="AB8" s="0">
        <v>41</v>
      </c>
      <c r="AC8" s="1">
        <f>=HYPERLINK("10.175.1.14\MWEB.12\TIER\EntityDetails.10.175.1.14.MWEB.12.shmweb0x0an-.41.xlsx", "&lt;Detail&gt;")</f>
      </c>
      <c r="AD8" s="1">
        <f>=HYPERLINK("10.175.1.14\MWEB.12\TIER\MetricGraphs.TIER.10.175.1.14.MWEB.12.xlsx", "&lt;Metrics&gt;")</f>
      </c>
      <c r="AE8" s="1">
        <f>=HYPERLINK("10.175.1.14\MWEB.12\TIER\FlameGraph.Tier.10.175.1.14.MWEB.12.shmweb0x0an-.41.svg", "&lt;FlGraph&gt;")</f>
      </c>
      <c r="AF8" s="1">
        <f>=HYPERLINK("10.175.1.14\MWEB.12\TIER\FlameChart.Tier.10.175.1.14.MWEB.12.shmweb0x0an-.41.svg", "&lt;FlChart&gt;")</f>
      </c>
      <c r="AG8" s="0" t="s">
        <v>107</v>
      </c>
      <c r="AH8" s="0" t="s">
        <v>108</v>
      </c>
      <c r="AI8" s="0" t="s">
        <v>130</v>
      </c>
      <c r="AJ8" s="0" t="s">
        <v>109</v>
      </c>
    </row>
    <row r="9">
      <c r="A9" s="0" t="s">
        <v>28</v>
      </c>
      <c r="B9" s="0" t="s">
        <v>30</v>
      </c>
      <c r="C9" s="0" t="s">
        <v>131</v>
      </c>
      <c r="D9" s="0" t="s">
        <v>121</v>
      </c>
      <c r="E9" s="0" t="s">
        <v>122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>
        <v>0</v>
      </c>
      <c r="O9" s="0">
        <v>0</v>
      </c>
      <c r="P9" s="0">
        <v>0</v>
      </c>
      <c r="Q9" s="0">
        <v>0</v>
      </c>
      <c r="R9" s="0">
        <v>0</v>
      </c>
      <c r="S9" s="0">
        <v>0</v>
      </c>
      <c r="T9" s="0">
        <v>0</v>
      </c>
      <c r="U9" s="0" t="b">
        <v>0</v>
      </c>
      <c r="V9" s="2">
        <v>44613.583333333336</v>
      </c>
      <c r="W9" s="2">
        <v>44613.625</v>
      </c>
      <c r="X9" s="2">
        <v>44613.208333333336</v>
      </c>
      <c r="Y9" s="2">
        <v>44613.25</v>
      </c>
      <c r="Z9" s="0">
        <v>60</v>
      </c>
      <c r="AA9" s="0">
        <v>12</v>
      </c>
      <c r="AB9" s="0">
        <v>40</v>
      </c>
      <c r="AC9" s="1">
        <f>=HYPERLINK("10.175.1.14\MWEB.12\TIER\EntityDetails.10.175.1.14.MWEB.12.shmweb0x0an-.40.xlsx", "&lt;Detail&gt;")</f>
      </c>
      <c r="AD9" s="1">
        <f>=HYPERLINK("10.175.1.14\MWEB.12\TIER\MetricGraphs.TIER.10.175.1.14.MWEB.12.xlsx", "&lt;Metrics&gt;")</f>
      </c>
      <c r="AE9" s="1">
        <f>=HYPERLINK("10.175.1.14\MWEB.12\TIER\FlameGraph.Tier.10.175.1.14.MWEB.12.shmweb0x0an-.40.svg", "&lt;FlGraph&gt;")</f>
      </c>
      <c r="AF9" s="1">
        <f>=HYPERLINK("10.175.1.14\MWEB.12\TIER\FlameChart.Tier.10.175.1.14.MWEB.12.shmweb0x0an-.40.svg", "&lt;FlChart&gt;")</f>
      </c>
      <c r="AG9" s="0" t="s">
        <v>107</v>
      </c>
      <c r="AH9" s="0" t="s">
        <v>108</v>
      </c>
      <c r="AI9" s="0" t="s">
        <v>132</v>
      </c>
      <c r="AJ9" s="0" t="s">
        <v>109</v>
      </c>
    </row>
    <row r="10">
      <c r="A10" s="0" t="s">
        <v>28</v>
      </c>
      <c r="B10" s="0" t="s">
        <v>30</v>
      </c>
      <c r="C10" s="0" t="s">
        <v>133</v>
      </c>
      <c r="D10" s="0" t="s">
        <v>121</v>
      </c>
      <c r="E10" s="0" t="s">
        <v>122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>
        <v>0</v>
      </c>
      <c r="O10" s="0">
        <v>0</v>
      </c>
      <c r="P10" s="0">
        <v>0</v>
      </c>
      <c r="Q10" s="0">
        <v>0</v>
      </c>
      <c r="R10" s="0">
        <v>0</v>
      </c>
      <c r="S10" s="0">
        <v>0</v>
      </c>
      <c r="T10" s="0">
        <v>0</v>
      </c>
      <c r="U10" s="0" t="b">
        <v>0</v>
      </c>
      <c r="V10" s="2">
        <v>44613.583333333336</v>
      </c>
      <c r="W10" s="2">
        <v>44613.625</v>
      </c>
      <c r="X10" s="2">
        <v>44613.208333333336</v>
      </c>
      <c r="Y10" s="2">
        <v>44613.25</v>
      </c>
      <c r="Z10" s="0">
        <v>60</v>
      </c>
      <c r="AA10" s="0">
        <v>12</v>
      </c>
      <c r="AB10" s="0">
        <v>36</v>
      </c>
      <c r="AC10" s="1">
        <f>=HYPERLINK("10.175.1.14\MWEB.12\TIER\EntityDetails.10.175.1.14.MWEB.12.shmweb0x0at-.36.xlsx", "&lt;Detail&gt;")</f>
      </c>
      <c r="AD10" s="1">
        <f>=HYPERLINK("10.175.1.14\MWEB.12\TIER\MetricGraphs.TIER.10.175.1.14.MWEB.12.xlsx", "&lt;Metrics&gt;")</f>
      </c>
      <c r="AE10" s="1">
        <f>=HYPERLINK("10.175.1.14\MWEB.12\TIER\FlameGraph.Tier.10.175.1.14.MWEB.12.shmweb0x0at-.36.svg", "&lt;FlGraph&gt;")</f>
      </c>
      <c r="AF10" s="1">
        <f>=HYPERLINK("10.175.1.14\MWEB.12\TIER\FlameChart.Tier.10.175.1.14.MWEB.12.shmweb0x0at-.36.svg", "&lt;FlChart&gt;")</f>
      </c>
      <c r="AG10" s="0" t="s">
        <v>107</v>
      </c>
      <c r="AH10" s="0" t="s">
        <v>108</v>
      </c>
      <c r="AI10" s="0" t="s">
        <v>134</v>
      </c>
      <c r="AJ10" s="0" t="s">
        <v>109</v>
      </c>
    </row>
    <row r="11">
      <c r="A11" s="0" t="s">
        <v>28</v>
      </c>
      <c r="B11" s="0" t="s">
        <v>30</v>
      </c>
      <c r="C11" s="0" t="s">
        <v>135</v>
      </c>
      <c r="D11" s="0" t="s">
        <v>121</v>
      </c>
      <c r="E11" s="0" t="s">
        <v>122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>
        <v>0</v>
      </c>
      <c r="O11" s="0">
        <v>0</v>
      </c>
      <c r="P11" s="0">
        <v>0</v>
      </c>
      <c r="Q11" s="0">
        <v>0</v>
      </c>
      <c r="R11" s="0">
        <v>0</v>
      </c>
      <c r="S11" s="0">
        <v>0</v>
      </c>
      <c r="T11" s="0">
        <v>0</v>
      </c>
      <c r="U11" s="0" t="b">
        <v>0</v>
      </c>
      <c r="V11" s="2">
        <v>44613.583333333336</v>
      </c>
      <c r="W11" s="2">
        <v>44613.625</v>
      </c>
      <c r="X11" s="2">
        <v>44613.208333333336</v>
      </c>
      <c r="Y11" s="2">
        <v>44613.25</v>
      </c>
      <c r="Z11" s="0">
        <v>60</v>
      </c>
      <c r="AA11" s="0">
        <v>12</v>
      </c>
      <c r="AB11" s="0">
        <v>37</v>
      </c>
      <c r="AC11" s="1">
        <f>=HYPERLINK("10.175.1.14\MWEB.12\TIER\EntityDetails.10.175.1.14.MWEB.12.shmweb0x0at-.37.xlsx", "&lt;Detail&gt;")</f>
      </c>
      <c r="AD11" s="1">
        <f>=HYPERLINK("10.175.1.14\MWEB.12\TIER\MetricGraphs.TIER.10.175.1.14.MWEB.12.xlsx", "&lt;Metrics&gt;")</f>
      </c>
      <c r="AE11" s="1">
        <f>=HYPERLINK("10.175.1.14\MWEB.12\TIER\FlameGraph.Tier.10.175.1.14.MWEB.12.shmweb0x0at-.37.svg", "&lt;FlGraph&gt;")</f>
      </c>
      <c r="AF11" s="1">
        <f>=HYPERLINK("10.175.1.14\MWEB.12\TIER\FlameChart.Tier.10.175.1.14.MWEB.12.shmweb0x0at-.37.svg", "&lt;FlChart&gt;")</f>
      </c>
      <c r="AG11" s="0" t="s">
        <v>107</v>
      </c>
      <c r="AH11" s="0" t="s">
        <v>108</v>
      </c>
      <c r="AI11" s="0" t="s">
        <v>136</v>
      </c>
      <c r="AJ11" s="0" t="s">
        <v>109</v>
      </c>
    </row>
    <row r="12">
      <c r="A12" s="0" t="s">
        <v>28</v>
      </c>
      <c r="B12" s="0" t="s">
        <v>30</v>
      </c>
      <c r="C12" s="0" t="s">
        <v>137</v>
      </c>
      <c r="D12" s="0" t="s">
        <v>121</v>
      </c>
      <c r="E12" s="0" t="s">
        <v>122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>
        <v>0</v>
      </c>
      <c r="O12" s="0">
        <v>0</v>
      </c>
      <c r="P12" s="0">
        <v>0</v>
      </c>
      <c r="Q12" s="0">
        <v>0</v>
      </c>
      <c r="R12" s="0">
        <v>0</v>
      </c>
      <c r="S12" s="0">
        <v>0</v>
      </c>
      <c r="T12" s="0">
        <v>0</v>
      </c>
      <c r="U12" s="0" t="b">
        <v>0</v>
      </c>
      <c r="V12" s="2">
        <v>44613.583333333336</v>
      </c>
      <c r="W12" s="2">
        <v>44613.625</v>
      </c>
      <c r="X12" s="2">
        <v>44613.208333333336</v>
      </c>
      <c r="Y12" s="2">
        <v>44613.25</v>
      </c>
      <c r="Z12" s="0">
        <v>60</v>
      </c>
      <c r="AA12" s="0">
        <v>12</v>
      </c>
      <c r="AB12" s="0">
        <v>38</v>
      </c>
      <c r="AC12" s="1">
        <f>=HYPERLINK("10.175.1.14\MWEB.12\TIER\EntityDetails.10.175.1.14.MWEB.12.shmweb0x0at-.38.xlsx", "&lt;Detail&gt;")</f>
      </c>
      <c r="AD12" s="1">
        <f>=HYPERLINK("10.175.1.14\MWEB.12\TIER\MetricGraphs.TIER.10.175.1.14.MWEB.12.xlsx", "&lt;Metrics&gt;")</f>
      </c>
      <c r="AE12" s="1">
        <f>=HYPERLINK("10.175.1.14\MWEB.12\TIER\FlameGraph.Tier.10.175.1.14.MWEB.12.shmweb0x0at-.38.svg", "&lt;FlGraph&gt;")</f>
      </c>
      <c r="AF12" s="1">
        <f>=HYPERLINK("10.175.1.14\MWEB.12\TIER\FlameChart.Tier.10.175.1.14.MWEB.12.shmweb0x0at-.38.svg", "&lt;FlChart&gt;")</f>
      </c>
      <c r="AG12" s="0" t="s">
        <v>107</v>
      </c>
      <c r="AH12" s="0" t="s">
        <v>108</v>
      </c>
      <c r="AI12" s="0" t="s">
        <v>138</v>
      </c>
      <c r="AJ12" s="0" t="s">
        <v>109</v>
      </c>
    </row>
    <row r="13">
      <c r="A13" s="0" t="s">
        <v>28</v>
      </c>
      <c r="B13" s="0" t="s">
        <v>30</v>
      </c>
      <c r="C13" s="0" t="s">
        <v>139</v>
      </c>
      <c r="D13" s="0" t="s">
        <v>140</v>
      </c>
      <c r="E13" s="0" t="s">
        <v>141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>
        <v>0</v>
      </c>
      <c r="O13" s="0">
        <v>0</v>
      </c>
      <c r="P13" s="0">
        <v>0</v>
      </c>
      <c r="Q13" s="0">
        <v>0</v>
      </c>
      <c r="R13" s="0">
        <v>0</v>
      </c>
      <c r="S13" s="0">
        <v>0</v>
      </c>
      <c r="T13" s="0">
        <v>0</v>
      </c>
      <c r="U13" s="0" t="b">
        <v>0</v>
      </c>
      <c r="V13" s="2">
        <v>44613.583333333336</v>
      </c>
      <c r="W13" s="2">
        <v>44613.625</v>
      </c>
      <c r="X13" s="2">
        <v>44613.208333333336</v>
      </c>
      <c r="Y13" s="2">
        <v>44613.25</v>
      </c>
      <c r="Z13" s="0">
        <v>60</v>
      </c>
      <c r="AA13" s="0">
        <v>12</v>
      </c>
      <c r="AB13" s="0">
        <v>35</v>
      </c>
      <c r="AC13" s="1">
        <f>=HYPERLINK("10.175.1.14\MWEB.12\TIER\EntityDetails.10.175.1.14.MWEB.12.shmweb0x0cp-.35.xlsx", "&lt;Detail&gt;")</f>
      </c>
      <c r="AD13" s="1">
        <f>=HYPERLINK("10.175.1.14\MWEB.12\TIER\MetricGraphs.TIER.10.175.1.14.MWEB.12.xlsx", "&lt;Metrics&gt;")</f>
      </c>
      <c r="AE13" s="1">
        <f>=HYPERLINK("10.175.1.14\MWEB.12\TIER\FlameGraph.Tier.10.175.1.14.MWEB.12.shmweb0x0cp-.35.svg", "&lt;FlGraph&gt;")</f>
      </c>
      <c r="AF13" s="1">
        <f>=HYPERLINK("10.175.1.14\MWEB.12\TIER\FlameChart.Tier.10.175.1.14.MWEB.12.shmweb0x0cp-.35.svg", "&lt;FlChart&gt;")</f>
      </c>
      <c r="AG13" s="0" t="s">
        <v>107</v>
      </c>
      <c r="AH13" s="0" t="s">
        <v>108</v>
      </c>
      <c r="AI13" s="0" t="s">
        <v>142</v>
      </c>
      <c r="AJ13" s="0" t="s">
        <v>109</v>
      </c>
    </row>
    <row r="14">
      <c r="A14" s="0" t="s">
        <v>28</v>
      </c>
      <c r="B14" s="0" t="s">
        <v>30</v>
      </c>
      <c r="C14" s="0" t="s">
        <v>143</v>
      </c>
      <c r="D14" s="0" t="s">
        <v>121</v>
      </c>
      <c r="E14" s="0" t="s">
        <v>122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>
        <v>0</v>
      </c>
      <c r="O14" s="0">
        <v>0</v>
      </c>
      <c r="P14" s="0">
        <v>0</v>
      </c>
      <c r="Q14" s="0">
        <v>0</v>
      </c>
      <c r="R14" s="0">
        <v>0</v>
      </c>
      <c r="S14" s="0">
        <v>0</v>
      </c>
      <c r="T14" s="0">
        <v>0</v>
      </c>
      <c r="U14" s="0" t="b">
        <v>0</v>
      </c>
      <c r="V14" s="2">
        <v>44613.583333333336</v>
      </c>
      <c r="W14" s="2">
        <v>44613.625</v>
      </c>
      <c r="X14" s="2">
        <v>44613.208333333336</v>
      </c>
      <c r="Y14" s="2">
        <v>44613.25</v>
      </c>
      <c r="Z14" s="0">
        <v>60</v>
      </c>
      <c r="AA14" s="0">
        <v>12</v>
      </c>
      <c r="AB14" s="0">
        <v>43</v>
      </c>
      <c r="AC14" s="1">
        <f>=HYPERLINK("10.175.1.14\MWEB.12\TIER\EntityDetails.10.175.1.14.MWEB.12.shmweb0x0fp-.43.xlsx", "&lt;Detail&gt;")</f>
      </c>
      <c r="AD14" s="1">
        <f>=HYPERLINK("10.175.1.14\MWEB.12\TIER\MetricGraphs.TIER.10.175.1.14.MWEB.12.xlsx", "&lt;Metrics&gt;")</f>
      </c>
      <c r="AE14" s="1">
        <f>=HYPERLINK("10.175.1.14\MWEB.12\TIER\FlameGraph.Tier.10.175.1.14.MWEB.12.shmweb0x0fp-.43.svg", "&lt;FlGraph&gt;")</f>
      </c>
      <c r="AF14" s="1">
        <f>=HYPERLINK("10.175.1.14\MWEB.12\TIER\FlameChart.Tier.10.175.1.14.MWEB.12.shmweb0x0fp-.43.svg", "&lt;FlChart&gt;")</f>
      </c>
      <c r="AG14" s="0" t="s">
        <v>107</v>
      </c>
      <c r="AH14" s="0" t="s">
        <v>108</v>
      </c>
      <c r="AI14" s="0" t="s">
        <v>144</v>
      </c>
      <c r="AJ14" s="0" t="s">
        <v>109</v>
      </c>
    </row>
    <row r="15">
      <c r="A15" s="0" t="s">
        <v>28</v>
      </c>
      <c r="B15" s="0" t="s">
        <v>30</v>
      </c>
      <c r="C15" s="0" t="s">
        <v>145</v>
      </c>
      <c r="D15" s="0" t="s">
        <v>121</v>
      </c>
      <c r="E15" s="0" t="s">
        <v>122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>
        <v>0</v>
      </c>
      <c r="O15" s="0">
        <v>0</v>
      </c>
      <c r="P15" s="0">
        <v>0</v>
      </c>
      <c r="Q15" s="0">
        <v>0</v>
      </c>
      <c r="R15" s="0">
        <v>0</v>
      </c>
      <c r="S15" s="0">
        <v>0</v>
      </c>
      <c r="T15" s="0">
        <v>0</v>
      </c>
      <c r="U15" s="0" t="b">
        <v>0</v>
      </c>
      <c r="V15" s="2">
        <v>44613.583333333336</v>
      </c>
      <c r="W15" s="2">
        <v>44613.625</v>
      </c>
      <c r="X15" s="2">
        <v>44613.208333333336</v>
      </c>
      <c r="Y15" s="2">
        <v>44613.25</v>
      </c>
      <c r="Z15" s="0">
        <v>60</v>
      </c>
      <c r="AA15" s="0">
        <v>12</v>
      </c>
      <c r="AB15" s="0">
        <v>34</v>
      </c>
      <c r="AC15" s="1">
        <f>=HYPERLINK("10.175.1.14\MWEB.12\TIER\EntityDetails.10.175.1.14.MWEB.12.shmweb0x0od-.34.xlsx", "&lt;Detail&gt;")</f>
      </c>
      <c r="AD15" s="1">
        <f>=HYPERLINK("10.175.1.14\MWEB.12\TIER\MetricGraphs.TIER.10.175.1.14.MWEB.12.xlsx", "&lt;Metrics&gt;")</f>
      </c>
      <c r="AE15" s="1">
        <f>=HYPERLINK("10.175.1.14\MWEB.12\TIER\FlameGraph.Tier.10.175.1.14.MWEB.12.shmweb0x0od-.34.svg", "&lt;FlGraph&gt;")</f>
      </c>
      <c r="AF15" s="1">
        <f>=HYPERLINK("10.175.1.14\MWEB.12\TIER\FlameChart.Tier.10.175.1.14.MWEB.12.shmweb0x0od-.34.svg", "&lt;FlChart&gt;")</f>
      </c>
      <c r="AG15" s="0" t="s">
        <v>107</v>
      </c>
      <c r="AH15" s="0" t="s">
        <v>108</v>
      </c>
      <c r="AI15" s="0" t="s">
        <v>146</v>
      </c>
      <c r="AJ15" s="0" t="s">
        <v>109</v>
      </c>
    </row>
    <row r="16">
      <c r="A16" s="0" t="s">
        <v>28</v>
      </c>
      <c r="B16" s="0" t="s">
        <v>30</v>
      </c>
      <c r="C16" s="0" t="s">
        <v>147</v>
      </c>
      <c r="D16" s="0" t="s">
        <v>121</v>
      </c>
      <c r="E16" s="0" t="s">
        <v>122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>
        <v>0</v>
      </c>
      <c r="O16" s="0">
        <v>0</v>
      </c>
      <c r="P16" s="0">
        <v>0</v>
      </c>
      <c r="Q16" s="0">
        <v>0</v>
      </c>
      <c r="R16" s="0">
        <v>2</v>
      </c>
      <c r="S16" s="0">
        <v>0</v>
      </c>
      <c r="T16" s="0">
        <v>0</v>
      </c>
      <c r="U16" s="0" t="b">
        <v>0</v>
      </c>
      <c r="V16" s="2">
        <v>44613.583333333336</v>
      </c>
      <c r="W16" s="2">
        <v>44613.625</v>
      </c>
      <c r="X16" s="2">
        <v>44613.208333333336</v>
      </c>
      <c r="Y16" s="2">
        <v>44613.25</v>
      </c>
      <c r="Z16" s="0">
        <v>60</v>
      </c>
      <c r="AA16" s="0">
        <v>12</v>
      </c>
      <c r="AB16" s="0">
        <v>49</v>
      </c>
      <c r="AC16" s="1">
        <f>=HYPERLINK("10.175.1.14\MWEB.12\TIER\EntityDetails.10.175.1.14.MWEB.12.skmweb2x0am-.49.xlsx", "&lt;Detail&gt;")</f>
      </c>
      <c r="AD16" s="1">
        <f>=HYPERLINK("10.175.1.14\MWEB.12\TIER\MetricGraphs.TIER.10.175.1.14.MWEB.12.xlsx", "&lt;Metrics&gt;")</f>
      </c>
      <c r="AE16" s="1">
        <f>=HYPERLINK("10.175.1.14\MWEB.12\TIER\FlameGraph.Tier.10.175.1.14.MWEB.12.skmweb2x0am-.49.svg", "&lt;FlGraph&gt;")</f>
      </c>
      <c r="AF16" s="1">
        <f>=HYPERLINK("10.175.1.14\MWEB.12\TIER\FlameChart.Tier.10.175.1.14.MWEB.12.skmweb2x0am-.49.svg", "&lt;FlChart&gt;")</f>
      </c>
      <c r="AG16" s="0" t="s">
        <v>107</v>
      </c>
      <c r="AH16" s="0" t="s">
        <v>108</v>
      </c>
      <c r="AI16" s="0" t="s">
        <v>148</v>
      </c>
      <c r="AJ16" s="0" t="s">
        <v>109</v>
      </c>
    </row>
    <row r="17">
      <c r="A17" s="0" t="s">
        <v>28</v>
      </c>
      <c r="B17" s="0" t="s">
        <v>30</v>
      </c>
      <c r="C17" s="0" t="s">
        <v>149</v>
      </c>
      <c r="D17" s="0" t="s">
        <v>121</v>
      </c>
      <c r="E17" s="0" t="s">
        <v>122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>
        <v>0</v>
      </c>
      <c r="O17" s="0">
        <v>0</v>
      </c>
      <c r="P17" s="0">
        <v>0</v>
      </c>
      <c r="Q17" s="0">
        <v>0</v>
      </c>
      <c r="R17" s="0">
        <v>1</v>
      </c>
      <c r="S17" s="0">
        <v>0</v>
      </c>
      <c r="T17" s="0">
        <v>0</v>
      </c>
      <c r="U17" s="0" t="b">
        <v>0</v>
      </c>
      <c r="V17" s="2">
        <v>44613.583333333336</v>
      </c>
      <c r="W17" s="2">
        <v>44613.625</v>
      </c>
      <c r="X17" s="2">
        <v>44613.208333333336</v>
      </c>
      <c r="Y17" s="2">
        <v>44613.25</v>
      </c>
      <c r="Z17" s="0">
        <v>60</v>
      </c>
      <c r="AA17" s="0">
        <v>12</v>
      </c>
      <c r="AB17" s="0">
        <v>50</v>
      </c>
      <c r="AC17" s="1">
        <f>=HYPERLINK("10.175.1.14\MWEB.12\TIER\EntityDetails.10.175.1.14.MWEB.12.skmweb2x0an-.50.xlsx", "&lt;Detail&gt;")</f>
      </c>
      <c r="AD17" s="1">
        <f>=HYPERLINK("10.175.1.14\MWEB.12\TIER\MetricGraphs.TIER.10.175.1.14.MWEB.12.xlsx", "&lt;Metrics&gt;")</f>
      </c>
      <c r="AE17" s="1">
        <f>=HYPERLINK("10.175.1.14\MWEB.12\TIER\FlameGraph.Tier.10.175.1.14.MWEB.12.skmweb2x0an-.50.svg", "&lt;FlGraph&gt;")</f>
      </c>
      <c r="AF17" s="1">
        <f>=HYPERLINK("10.175.1.14\MWEB.12\TIER\FlameChart.Tier.10.175.1.14.MWEB.12.skmweb2x0an-.50.svg", "&lt;FlChart&gt;")</f>
      </c>
      <c r="AG17" s="0" t="s">
        <v>107</v>
      </c>
      <c r="AH17" s="0" t="s">
        <v>108</v>
      </c>
      <c r="AI17" s="0" t="s">
        <v>150</v>
      </c>
      <c r="AJ17" s="0" t="s">
        <v>109</v>
      </c>
    </row>
    <row r="18">
      <c r="A18" s="0" t="s">
        <v>28</v>
      </c>
      <c r="B18" s="0" t="s">
        <v>30</v>
      </c>
      <c r="C18" s="0" t="s">
        <v>151</v>
      </c>
      <c r="D18" s="0" t="s">
        <v>121</v>
      </c>
      <c r="E18" s="0" t="s">
        <v>122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>
        <v>0</v>
      </c>
      <c r="O18" s="0">
        <v>0</v>
      </c>
      <c r="P18" s="0">
        <v>0</v>
      </c>
      <c r="Q18" s="0">
        <v>0</v>
      </c>
      <c r="R18" s="0">
        <v>1</v>
      </c>
      <c r="S18" s="0">
        <v>0</v>
      </c>
      <c r="T18" s="0">
        <v>0</v>
      </c>
      <c r="U18" s="0" t="b">
        <v>0</v>
      </c>
      <c r="V18" s="2">
        <v>44613.583333333336</v>
      </c>
      <c r="W18" s="2">
        <v>44613.625</v>
      </c>
      <c r="X18" s="2">
        <v>44613.208333333336</v>
      </c>
      <c r="Y18" s="2">
        <v>44613.25</v>
      </c>
      <c r="Z18" s="0">
        <v>60</v>
      </c>
      <c r="AA18" s="0">
        <v>12</v>
      </c>
      <c r="AB18" s="0">
        <v>52</v>
      </c>
      <c r="AC18" s="1">
        <f>=HYPERLINK("10.175.1.14\MWEB.12\TIER\EntityDetails.10.175.1.14.MWEB.12.skmweb2x0an-.52.xlsx", "&lt;Detail&gt;")</f>
      </c>
      <c r="AD18" s="1">
        <f>=HYPERLINK("10.175.1.14\MWEB.12\TIER\MetricGraphs.TIER.10.175.1.14.MWEB.12.xlsx", "&lt;Metrics&gt;")</f>
      </c>
      <c r="AE18" s="1">
        <f>=HYPERLINK("10.175.1.14\MWEB.12\TIER\FlameGraph.Tier.10.175.1.14.MWEB.12.skmweb2x0an-.52.svg", "&lt;FlGraph&gt;")</f>
      </c>
      <c r="AF18" s="1">
        <f>=HYPERLINK("10.175.1.14\MWEB.12\TIER\FlameChart.Tier.10.175.1.14.MWEB.12.skmweb2x0an-.52.svg", "&lt;FlChart&gt;")</f>
      </c>
      <c r="AG18" s="0" t="s">
        <v>107</v>
      </c>
      <c r="AH18" s="0" t="s">
        <v>108</v>
      </c>
      <c r="AI18" s="0" t="s">
        <v>152</v>
      </c>
      <c r="AJ18" s="0" t="s">
        <v>109</v>
      </c>
    </row>
    <row r="19">
      <c r="A19" s="0" t="s">
        <v>28</v>
      </c>
      <c r="B19" s="0" t="s">
        <v>30</v>
      </c>
      <c r="C19" s="0" t="s">
        <v>153</v>
      </c>
      <c r="D19" s="0" t="s">
        <v>121</v>
      </c>
      <c r="E19" s="0" t="s">
        <v>122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>
        <v>0</v>
      </c>
      <c r="O19" s="0">
        <v>0</v>
      </c>
      <c r="P19" s="0">
        <v>0</v>
      </c>
      <c r="Q19" s="0">
        <v>0</v>
      </c>
      <c r="R19" s="0">
        <v>1</v>
      </c>
      <c r="S19" s="0">
        <v>0</v>
      </c>
      <c r="T19" s="0">
        <v>0</v>
      </c>
      <c r="U19" s="0" t="b">
        <v>0</v>
      </c>
      <c r="V19" s="2">
        <v>44613.583333333336</v>
      </c>
      <c r="W19" s="2">
        <v>44613.625</v>
      </c>
      <c r="X19" s="2">
        <v>44613.208333333336</v>
      </c>
      <c r="Y19" s="2">
        <v>44613.25</v>
      </c>
      <c r="Z19" s="0">
        <v>60</v>
      </c>
      <c r="AA19" s="0">
        <v>12</v>
      </c>
      <c r="AB19" s="0">
        <v>51</v>
      </c>
      <c r="AC19" s="1">
        <f>=HYPERLINK("10.175.1.14\MWEB.12\TIER\EntityDetails.10.175.1.14.MWEB.12.skmweb2x0an-.51.xlsx", "&lt;Detail&gt;")</f>
      </c>
      <c r="AD19" s="1">
        <f>=HYPERLINK("10.175.1.14\MWEB.12\TIER\MetricGraphs.TIER.10.175.1.14.MWEB.12.xlsx", "&lt;Metrics&gt;")</f>
      </c>
      <c r="AE19" s="1">
        <f>=HYPERLINK("10.175.1.14\MWEB.12\TIER\FlameGraph.Tier.10.175.1.14.MWEB.12.skmweb2x0an-.51.svg", "&lt;FlGraph&gt;")</f>
      </c>
      <c r="AF19" s="1">
        <f>=HYPERLINK("10.175.1.14\MWEB.12\TIER\FlameChart.Tier.10.175.1.14.MWEB.12.skmweb2x0an-.51.svg", "&lt;FlChart&gt;")</f>
      </c>
      <c r="AG19" s="0" t="s">
        <v>107</v>
      </c>
      <c r="AH19" s="0" t="s">
        <v>108</v>
      </c>
      <c r="AI19" s="0" t="s">
        <v>154</v>
      </c>
      <c r="AJ19" s="0" t="s">
        <v>109</v>
      </c>
    </row>
    <row r="20">
      <c r="A20" s="0" t="s">
        <v>28</v>
      </c>
      <c r="B20" s="0" t="s">
        <v>30</v>
      </c>
      <c r="C20" s="0" t="s">
        <v>155</v>
      </c>
      <c r="D20" s="0" t="s">
        <v>121</v>
      </c>
      <c r="E20" s="0" t="s">
        <v>122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>
        <v>0</v>
      </c>
      <c r="O20" s="0">
        <v>0</v>
      </c>
      <c r="P20" s="0">
        <v>0</v>
      </c>
      <c r="Q20" s="0">
        <v>0</v>
      </c>
      <c r="R20" s="0">
        <v>1</v>
      </c>
      <c r="S20" s="0">
        <v>0</v>
      </c>
      <c r="T20" s="0">
        <v>0</v>
      </c>
      <c r="U20" s="0" t="b">
        <v>0</v>
      </c>
      <c r="V20" s="2">
        <v>44613.583333333336</v>
      </c>
      <c r="W20" s="2">
        <v>44613.625</v>
      </c>
      <c r="X20" s="2">
        <v>44613.208333333336</v>
      </c>
      <c r="Y20" s="2">
        <v>44613.25</v>
      </c>
      <c r="Z20" s="0">
        <v>60</v>
      </c>
      <c r="AA20" s="0">
        <v>12</v>
      </c>
      <c r="AB20" s="0">
        <v>54</v>
      </c>
      <c r="AC20" s="1">
        <f>=HYPERLINK("10.175.1.14\MWEB.12\TIER\EntityDetails.10.175.1.14.MWEB.12.skmweb2x0at0.54.xlsx", "&lt;Detail&gt;")</f>
      </c>
      <c r="AD20" s="1">
        <f>=HYPERLINK("10.175.1.14\MWEB.12\TIER\MetricGraphs.TIER.10.175.1.14.MWEB.12.xlsx", "&lt;Metrics&gt;")</f>
      </c>
      <c r="AE20" s="1">
        <f>=HYPERLINK("10.175.1.14\MWEB.12\TIER\FlameGraph.Tier.10.175.1.14.MWEB.12.skmweb2x0at0.54.svg", "&lt;FlGraph&gt;")</f>
      </c>
      <c r="AF20" s="1">
        <f>=HYPERLINK("10.175.1.14\MWEB.12\TIER\FlameChart.Tier.10.175.1.14.MWEB.12.skmweb2x0at0.54.svg", "&lt;FlChart&gt;")</f>
      </c>
      <c r="AG20" s="0" t="s">
        <v>107</v>
      </c>
      <c r="AH20" s="0" t="s">
        <v>108</v>
      </c>
      <c r="AI20" s="0" t="s">
        <v>156</v>
      </c>
      <c r="AJ20" s="0" t="s">
        <v>109</v>
      </c>
    </row>
    <row r="21">
      <c r="A21" s="0" t="s">
        <v>28</v>
      </c>
      <c r="B21" s="0" t="s">
        <v>30</v>
      </c>
      <c r="C21" s="0" t="s">
        <v>157</v>
      </c>
      <c r="D21" s="0" t="s">
        <v>121</v>
      </c>
      <c r="E21" s="0" t="s">
        <v>122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>
        <v>0</v>
      </c>
      <c r="O21" s="0">
        <v>0</v>
      </c>
      <c r="P21" s="0">
        <v>0</v>
      </c>
      <c r="Q21" s="0">
        <v>0</v>
      </c>
      <c r="R21" s="0">
        <v>1</v>
      </c>
      <c r="S21" s="0">
        <v>0</v>
      </c>
      <c r="T21" s="0">
        <v>0</v>
      </c>
      <c r="U21" s="0" t="b">
        <v>0</v>
      </c>
      <c r="V21" s="2">
        <v>44613.583333333336</v>
      </c>
      <c r="W21" s="2">
        <v>44613.625</v>
      </c>
      <c r="X21" s="2">
        <v>44613.208333333336</v>
      </c>
      <c r="Y21" s="2">
        <v>44613.25</v>
      </c>
      <c r="Z21" s="0">
        <v>60</v>
      </c>
      <c r="AA21" s="0">
        <v>12</v>
      </c>
      <c r="AB21" s="0">
        <v>53</v>
      </c>
      <c r="AC21" s="1">
        <f>=HYPERLINK("10.175.1.14\MWEB.12\TIER\EntityDetails.10.175.1.14.MWEB.12.skmweb2x0at-.53.xlsx", "&lt;Detail&gt;")</f>
      </c>
      <c r="AD21" s="1">
        <f>=HYPERLINK("10.175.1.14\MWEB.12\TIER\MetricGraphs.TIER.10.175.1.14.MWEB.12.xlsx", "&lt;Metrics&gt;")</f>
      </c>
      <c r="AE21" s="1">
        <f>=HYPERLINK("10.175.1.14\MWEB.12\TIER\FlameGraph.Tier.10.175.1.14.MWEB.12.skmweb2x0at-.53.svg", "&lt;FlGraph&gt;")</f>
      </c>
      <c r="AF21" s="1">
        <f>=HYPERLINK("10.175.1.14\MWEB.12\TIER\FlameChart.Tier.10.175.1.14.MWEB.12.skmweb2x0at-.53.svg", "&lt;FlChart&gt;")</f>
      </c>
      <c r="AG21" s="0" t="s">
        <v>107</v>
      </c>
      <c r="AH21" s="0" t="s">
        <v>108</v>
      </c>
      <c r="AI21" s="0" t="s">
        <v>158</v>
      </c>
      <c r="AJ21" s="0" t="s">
        <v>109</v>
      </c>
    </row>
    <row r="22">
      <c r="A22" s="0" t="s">
        <v>28</v>
      </c>
      <c r="B22" s="0" t="s">
        <v>30</v>
      </c>
      <c r="C22" s="0" t="s">
        <v>159</v>
      </c>
      <c r="D22" s="0" t="s">
        <v>121</v>
      </c>
      <c r="E22" s="0" t="s">
        <v>122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>
        <v>0</v>
      </c>
      <c r="O22" s="0">
        <v>0</v>
      </c>
      <c r="P22" s="0">
        <v>0</v>
      </c>
      <c r="Q22" s="0">
        <v>0</v>
      </c>
      <c r="R22" s="0">
        <v>1</v>
      </c>
      <c r="S22" s="0">
        <v>0</v>
      </c>
      <c r="T22" s="0">
        <v>0</v>
      </c>
      <c r="U22" s="0" t="b">
        <v>0</v>
      </c>
      <c r="V22" s="2">
        <v>44613.583333333336</v>
      </c>
      <c r="W22" s="2">
        <v>44613.625</v>
      </c>
      <c r="X22" s="2">
        <v>44613.208333333336</v>
      </c>
      <c r="Y22" s="2">
        <v>44613.25</v>
      </c>
      <c r="Z22" s="0">
        <v>60</v>
      </c>
      <c r="AA22" s="0">
        <v>12</v>
      </c>
      <c r="AB22" s="0">
        <v>56</v>
      </c>
      <c r="AC22" s="1">
        <f>=HYPERLINK("10.175.1.14\MWEB.12\TIER\EntityDetails.10.175.1.14.MWEB.12.skmweb2x0at-.56.xlsx", "&lt;Detail&gt;")</f>
      </c>
      <c r="AD22" s="1">
        <f>=HYPERLINK("10.175.1.14\MWEB.12\TIER\MetricGraphs.TIER.10.175.1.14.MWEB.12.xlsx", "&lt;Metrics&gt;")</f>
      </c>
      <c r="AE22" s="1">
        <f>=HYPERLINK("10.175.1.14\MWEB.12\TIER\FlameGraph.Tier.10.175.1.14.MWEB.12.skmweb2x0at-.56.svg", "&lt;FlGraph&gt;")</f>
      </c>
      <c r="AF22" s="1">
        <f>=HYPERLINK("10.175.1.14\MWEB.12\TIER\FlameChart.Tier.10.175.1.14.MWEB.12.skmweb2x0at-.56.svg", "&lt;FlChart&gt;")</f>
      </c>
      <c r="AG22" s="0" t="s">
        <v>107</v>
      </c>
      <c r="AH22" s="0" t="s">
        <v>108</v>
      </c>
      <c r="AI22" s="0" t="s">
        <v>160</v>
      </c>
      <c r="AJ22" s="0" t="s">
        <v>109</v>
      </c>
    </row>
    <row r="23">
      <c r="A23" s="0" t="s">
        <v>28</v>
      </c>
      <c r="B23" s="0" t="s">
        <v>30</v>
      </c>
      <c r="C23" s="0" t="s">
        <v>161</v>
      </c>
      <c r="D23" s="0" t="s">
        <v>140</v>
      </c>
      <c r="E23" s="0" t="s">
        <v>141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>
        <v>0</v>
      </c>
      <c r="O23" s="0">
        <v>0</v>
      </c>
      <c r="P23" s="0">
        <v>0</v>
      </c>
      <c r="Q23" s="0">
        <v>0</v>
      </c>
      <c r="R23" s="0">
        <v>0</v>
      </c>
      <c r="S23" s="0">
        <v>0</v>
      </c>
      <c r="T23" s="0">
        <v>0</v>
      </c>
      <c r="U23" s="0" t="b">
        <v>0</v>
      </c>
      <c r="V23" s="2">
        <v>44613.583333333336</v>
      </c>
      <c r="W23" s="2">
        <v>44613.625</v>
      </c>
      <c r="X23" s="2">
        <v>44613.208333333336</v>
      </c>
      <c r="Y23" s="2">
        <v>44613.25</v>
      </c>
      <c r="Z23" s="0">
        <v>60</v>
      </c>
      <c r="AA23" s="0">
        <v>12</v>
      </c>
      <c r="AB23" s="0">
        <v>48</v>
      </c>
      <c r="AC23" s="1">
        <f>=HYPERLINK("10.175.1.14\MWEB.12\TIER\EntityDetails.10.175.1.14.MWEB.12.skmweb2x0cp-.48.xlsx", "&lt;Detail&gt;")</f>
      </c>
      <c r="AD23" s="1">
        <f>=HYPERLINK("10.175.1.14\MWEB.12\TIER\MetricGraphs.TIER.10.175.1.14.MWEB.12.xlsx", "&lt;Metrics&gt;")</f>
      </c>
      <c r="AE23" s="1">
        <f>=HYPERLINK("10.175.1.14\MWEB.12\TIER\FlameGraph.Tier.10.175.1.14.MWEB.12.skmweb2x0cp-.48.svg", "&lt;FlGraph&gt;")</f>
      </c>
      <c r="AF23" s="1">
        <f>=HYPERLINK("10.175.1.14\MWEB.12\TIER\FlameChart.Tier.10.175.1.14.MWEB.12.skmweb2x0cp-.48.svg", "&lt;FlChart&gt;")</f>
      </c>
      <c r="AG23" s="0" t="s">
        <v>107</v>
      </c>
      <c r="AH23" s="0" t="s">
        <v>108</v>
      </c>
      <c r="AI23" s="0" t="s">
        <v>162</v>
      </c>
      <c r="AJ23" s="0" t="s">
        <v>109</v>
      </c>
    </row>
    <row r="24">
      <c r="A24" s="0" t="s">
        <v>28</v>
      </c>
      <c r="B24" s="0" t="s">
        <v>30</v>
      </c>
      <c r="C24" s="0" t="s">
        <v>163</v>
      </c>
      <c r="D24" s="0" t="s">
        <v>121</v>
      </c>
      <c r="E24" s="0" t="s">
        <v>122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>
        <v>0</v>
      </c>
      <c r="O24" s="0">
        <v>0</v>
      </c>
      <c r="P24" s="0">
        <v>0</v>
      </c>
      <c r="Q24" s="0">
        <v>0</v>
      </c>
      <c r="R24" s="0">
        <v>1</v>
      </c>
      <c r="S24" s="0">
        <v>0</v>
      </c>
      <c r="T24" s="0">
        <v>0</v>
      </c>
      <c r="U24" s="0" t="b">
        <v>0</v>
      </c>
      <c r="V24" s="2">
        <v>44613.583333333336</v>
      </c>
      <c r="W24" s="2">
        <v>44613.625</v>
      </c>
      <c r="X24" s="2">
        <v>44613.208333333336</v>
      </c>
      <c r="Y24" s="2">
        <v>44613.25</v>
      </c>
      <c r="Z24" s="0">
        <v>60</v>
      </c>
      <c r="AA24" s="0">
        <v>12</v>
      </c>
      <c r="AB24" s="0">
        <v>55</v>
      </c>
      <c r="AC24" s="1">
        <f>=HYPERLINK("10.175.1.14\MWEB.12\TIER\EntityDetails.10.175.1.14.MWEB.12.skmweb2x0fp-.55.xlsx", "&lt;Detail&gt;")</f>
      </c>
      <c r="AD24" s="1">
        <f>=HYPERLINK("10.175.1.14\MWEB.12\TIER\MetricGraphs.TIER.10.175.1.14.MWEB.12.xlsx", "&lt;Metrics&gt;")</f>
      </c>
      <c r="AE24" s="1">
        <f>=HYPERLINK("10.175.1.14\MWEB.12\TIER\FlameGraph.Tier.10.175.1.14.MWEB.12.skmweb2x0fp-.55.svg", "&lt;FlGraph&gt;")</f>
      </c>
      <c r="AF24" s="1">
        <f>=HYPERLINK("10.175.1.14\MWEB.12\TIER\FlameChart.Tier.10.175.1.14.MWEB.12.skmweb2x0fp-.55.svg", "&lt;FlChart&gt;")</f>
      </c>
      <c r="AG24" s="0" t="s">
        <v>107</v>
      </c>
      <c r="AH24" s="0" t="s">
        <v>108</v>
      </c>
      <c r="AI24" s="0" t="s">
        <v>164</v>
      </c>
      <c r="AJ24" s="0" t="s">
        <v>109</v>
      </c>
    </row>
    <row r="25">
      <c r="A25" s="0" t="s">
        <v>28</v>
      </c>
      <c r="B25" s="0" t="s">
        <v>30</v>
      </c>
      <c r="C25" s="0" t="s">
        <v>165</v>
      </c>
      <c r="D25" s="0" t="s">
        <v>121</v>
      </c>
      <c r="E25" s="0" t="s">
        <v>122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>
        <v>0</v>
      </c>
      <c r="O25" s="0">
        <v>0</v>
      </c>
      <c r="P25" s="0">
        <v>0</v>
      </c>
      <c r="Q25" s="0">
        <v>0</v>
      </c>
      <c r="R25" s="0">
        <v>3</v>
      </c>
      <c r="S25" s="0">
        <v>0</v>
      </c>
      <c r="T25" s="0">
        <v>0</v>
      </c>
      <c r="U25" s="0" t="b">
        <v>0</v>
      </c>
      <c r="V25" s="2">
        <v>44613.583333333336</v>
      </c>
      <c r="W25" s="2">
        <v>44613.625</v>
      </c>
      <c r="X25" s="2">
        <v>44613.208333333336</v>
      </c>
      <c r="Y25" s="2">
        <v>44613.25</v>
      </c>
      <c r="Z25" s="0">
        <v>60</v>
      </c>
      <c r="AA25" s="0">
        <v>12</v>
      </c>
      <c r="AB25" s="0">
        <v>47</v>
      </c>
      <c r="AC25" s="1">
        <f>=HYPERLINK("10.175.1.14\MWEB.12\TIER\EntityDetails.10.175.1.14.MWEB.12.skmweb2x0od-.47.xlsx", "&lt;Detail&gt;")</f>
      </c>
      <c r="AD25" s="1">
        <f>=HYPERLINK("10.175.1.14\MWEB.12\TIER\MetricGraphs.TIER.10.175.1.14.MWEB.12.xlsx", "&lt;Metrics&gt;")</f>
      </c>
      <c r="AE25" s="1">
        <f>=HYPERLINK("10.175.1.14\MWEB.12\TIER\FlameGraph.Tier.10.175.1.14.MWEB.12.skmweb2x0od-.47.svg", "&lt;FlGraph&gt;")</f>
      </c>
      <c r="AF25" s="1">
        <f>=HYPERLINK("10.175.1.14\MWEB.12\TIER\FlameChart.Tier.10.175.1.14.MWEB.12.skmweb2x0od-.47.svg", "&lt;FlChart&gt;")</f>
      </c>
      <c r="AG25" s="0" t="s">
        <v>107</v>
      </c>
      <c r="AH25" s="0" t="s">
        <v>108</v>
      </c>
      <c r="AI25" s="0" t="s">
        <v>166</v>
      </c>
      <c r="AJ25" s="0" t="s">
        <v>109</v>
      </c>
    </row>
  </sheetData>
  <conditionalFormatting sqref="Q5:Q25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5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5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5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8.xml><?xml version="1.0" encoding="utf-8"?>
<worksheet xmlns:r="http://schemas.openxmlformats.org/officeDocument/2006/relationships" xmlns="http://schemas.openxmlformats.org/spreadsheetml/2006/main">
  <dimension ref="A1:AJ2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5" customWidth="1"/>
    <col min="5" max="5" width="25" customWidth="1"/>
    <col min="22" max="22" width="20" customWidth="1"/>
    <col min="23" max="23" width="20" customWidth="1"/>
    <col min="24" max="24" width="20" customWidth="1"/>
    <col min="25" max="25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82</v>
      </c>
      <c r="B2" s="1">
        <f>=HYPERLINK("#'5.Tiers.Perf'!A1", "&lt;Go&gt;")</f>
      </c>
    </row>
    <row r="3">
      <c r="A3" s="0" t="s">
        <v>111</v>
      </c>
      <c r="B3" s="1">
        <f>=HYPERLINK("#'5.Tiers.Availability'!A1", "&lt;Go&gt;")</f>
      </c>
    </row>
    <row r="4">
      <c r="A4" s="0" t="s">
        <v>23</v>
      </c>
      <c r="B4" s="0" t="s">
        <v>83</v>
      </c>
      <c r="C4" s="0" t="s">
        <v>112</v>
      </c>
      <c r="D4" s="0" t="s">
        <v>113</v>
      </c>
      <c r="E4" s="0" t="s">
        <v>114</v>
      </c>
      <c r="F4" s="0" t="s">
        <v>84</v>
      </c>
      <c r="G4" s="0" t="s">
        <v>85</v>
      </c>
      <c r="H4" s="0" t="s">
        <v>86</v>
      </c>
      <c r="I4" s="0" t="s">
        <v>87</v>
      </c>
      <c r="J4" s="0" t="s">
        <v>88</v>
      </c>
      <c r="K4" s="0" t="s">
        <v>89</v>
      </c>
      <c r="L4" s="0" t="s">
        <v>90</v>
      </c>
      <c r="M4" s="0" t="s">
        <v>91</v>
      </c>
      <c r="N4" s="0" t="s">
        <v>92</v>
      </c>
      <c r="O4" s="0" t="s">
        <v>93</v>
      </c>
      <c r="P4" s="0" t="s">
        <v>94</v>
      </c>
      <c r="Q4" s="0" t="s">
        <v>95</v>
      </c>
      <c r="R4" s="0" t="s">
        <v>115</v>
      </c>
      <c r="S4" s="0" t="s">
        <v>116</v>
      </c>
      <c r="T4" s="0" t="s">
        <v>117</v>
      </c>
      <c r="U4" s="0" t="s">
        <v>96</v>
      </c>
      <c r="V4" s="0" t="s">
        <v>4</v>
      </c>
      <c r="W4" s="0" t="s">
        <v>5</v>
      </c>
      <c r="X4" s="0" t="s">
        <v>97</v>
      </c>
      <c r="Y4" s="0" t="s">
        <v>98</v>
      </c>
      <c r="Z4" s="0" t="s">
        <v>99</v>
      </c>
      <c r="AA4" s="0" t="s">
        <v>26</v>
      </c>
      <c r="AB4" s="0" t="s">
        <v>118</v>
      </c>
      <c r="AC4" s="0" t="s">
        <v>100</v>
      </c>
      <c r="AD4" s="0" t="s">
        <v>101</v>
      </c>
      <c r="AE4" s="0" t="s">
        <v>102</v>
      </c>
      <c r="AF4" s="0" t="s">
        <v>103</v>
      </c>
      <c r="AG4" s="0" t="s">
        <v>78</v>
      </c>
      <c r="AH4" s="0" t="s">
        <v>104</v>
      </c>
      <c r="AI4" s="0" t="s">
        <v>119</v>
      </c>
      <c r="AJ4" s="0" t="s">
        <v>105</v>
      </c>
    </row>
    <row r="5">
      <c r="A5" s="0" t="s">
        <v>28</v>
      </c>
      <c r="B5" s="0" t="s">
        <v>30</v>
      </c>
      <c r="C5" s="0" t="s">
        <v>120</v>
      </c>
      <c r="D5" s="0" t="s">
        <v>121</v>
      </c>
      <c r="E5" s="0" t="s">
        <v>122</v>
      </c>
      <c r="F5" s="0">
        <v>0</v>
      </c>
      <c r="G5" s="0" t="s">
        <v>106</v>
      </c>
      <c r="H5" s="0">
        <v>0</v>
      </c>
      <c r="I5" s="0">
        <v>0</v>
      </c>
      <c r="J5" s="0">
        <v>0</v>
      </c>
      <c r="K5" s="0">
        <v>0</v>
      </c>
      <c r="L5" s="0">
        <v>0</v>
      </c>
      <c r="M5" s="0">
        <v>0</v>
      </c>
      <c r="N5" s="0">
        <v>0</v>
      </c>
      <c r="O5" s="0">
        <v>0</v>
      </c>
      <c r="P5" s="0">
        <v>0</v>
      </c>
      <c r="Q5" s="0">
        <v>0</v>
      </c>
      <c r="R5" s="0">
        <v>1</v>
      </c>
      <c r="S5" s="0">
        <v>0</v>
      </c>
      <c r="T5" s="0">
        <v>1</v>
      </c>
      <c r="U5" s="0" t="b">
        <v>0</v>
      </c>
      <c r="V5" s="2">
        <v>44613.583333333336</v>
      </c>
      <c r="W5" s="2">
        <v>44613.625</v>
      </c>
      <c r="X5" s="2">
        <v>44613.208333333336</v>
      </c>
      <c r="Y5" s="2">
        <v>44613.25</v>
      </c>
      <c r="Z5" s="0">
        <v>60</v>
      </c>
      <c r="AA5" s="0">
        <v>12</v>
      </c>
      <c r="AB5" s="0">
        <v>33</v>
      </c>
      <c r="AC5" s="1">
        <f>=HYPERLINK("10.175.1.14\MWEB.12\TIER\EntityDetails.10.175.1.14.MWEB.12.Extention.33.xlsx", "&lt;Detail&gt;")</f>
      </c>
      <c r="AD5" s="1">
        <f>=HYPERLINK("10.175.1.14\MWEB.12\TIER\MetricGraphs.TIER.10.175.1.14.MWEB.12.xlsx", "&lt;Metrics&gt;")</f>
      </c>
      <c r="AE5" s="1">
        <f>=HYPERLINK("10.175.1.14\MWEB.12\TIER\FlameGraph.Tier.10.175.1.14.MWEB.12.Extention.33.svg", "&lt;FlGraph&gt;")</f>
      </c>
      <c r="AF5" s="1">
        <f>=HYPERLINK("10.175.1.14\MWEB.12\TIER\FlameChart.Tier.10.175.1.14.MWEB.12.Extention.33.svg", "&lt;FlChart&gt;")</f>
      </c>
      <c r="AG5" s="0" t="s">
        <v>107</v>
      </c>
      <c r="AH5" s="0" t="s">
        <v>108</v>
      </c>
      <c r="AI5" s="0" t="s">
        <v>123</v>
      </c>
      <c r="AJ5" s="0" t="s">
        <v>124</v>
      </c>
    </row>
    <row r="6">
      <c r="A6" s="0" t="s">
        <v>28</v>
      </c>
      <c r="B6" s="0" t="s">
        <v>30</v>
      </c>
      <c r="C6" s="0" t="s">
        <v>125</v>
      </c>
      <c r="D6" s="0" t="s">
        <v>121</v>
      </c>
      <c r="E6" s="0" t="s">
        <v>122</v>
      </c>
      <c r="F6" s="0">
        <v>0</v>
      </c>
      <c r="G6" s="0" t="s">
        <v>106</v>
      </c>
      <c r="H6" s="0">
        <v>0</v>
      </c>
      <c r="I6" s="0">
        <v>0</v>
      </c>
      <c r="J6" s="0">
        <v>0</v>
      </c>
      <c r="K6" s="0">
        <v>0</v>
      </c>
      <c r="L6" s="0">
        <v>0</v>
      </c>
      <c r="M6" s="0">
        <v>0</v>
      </c>
      <c r="N6" s="0">
        <v>0</v>
      </c>
      <c r="O6" s="0">
        <v>0</v>
      </c>
      <c r="P6" s="0">
        <v>0</v>
      </c>
      <c r="Q6" s="0">
        <v>0</v>
      </c>
      <c r="R6" s="0">
        <v>0</v>
      </c>
      <c r="S6" s="0">
        <v>0</v>
      </c>
      <c r="T6" s="0">
        <v>0</v>
      </c>
      <c r="U6" s="0" t="b">
        <v>0</v>
      </c>
      <c r="V6" s="2">
        <v>44613.583333333336</v>
      </c>
      <c r="W6" s="2">
        <v>44613.625</v>
      </c>
      <c r="X6" s="2">
        <v>44613.208333333336</v>
      </c>
      <c r="Y6" s="2">
        <v>44613.25</v>
      </c>
      <c r="Z6" s="0">
        <v>60</v>
      </c>
      <c r="AA6" s="0">
        <v>12</v>
      </c>
      <c r="AB6" s="0">
        <v>42</v>
      </c>
      <c r="AC6" s="1">
        <f>=HYPERLINK("10.175.1.14\MWEB.12\TIER\EntityDetails.10.175.1.14.MWEB.12.shmweb0x0am-.42.xlsx", "&lt;Detail&gt;")</f>
      </c>
      <c r="AD6" s="1">
        <f>=HYPERLINK("10.175.1.14\MWEB.12\TIER\MetricGraphs.TIER.10.175.1.14.MWEB.12.xlsx", "&lt;Metrics&gt;")</f>
      </c>
      <c r="AE6" s="1">
        <f>=HYPERLINK("10.175.1.14\MWEB.12\TIER\FlameGraph.Tier.10.175.1.14.MWEB.12.shmweb0x0am-.42.svg", "&lt;FlGraph&gt;")</f>
      </c>
      <c r="AF6" s="1">
        <f>=HYPERLINK("10.175.1.14\MWEB.12\TIER\FlameChart.Tier.10.175.1.14.MWEB.12.shmweb0x0am-.42.svg", "&lt;FlChart&gt;")</f>
      </c>
      <c r="AG6" s="0" t="s">
        <v>107</v>
      </c>
      <c r="AH6" s="0" t="s">
        <v>108</v>
      </c>
      <c r="AI6" s="0" t="s">
        <v>126</v>
      </c>
      <c r="AJ6" s="0" t="s">
        <v>109</v>
      </c>
    </row>
    <row r="7">
      <c r="A7" s="0" t="s">
        <v>28</v>
      </c>
      <c r="B7" s="0" t="s">
        <v>30</v>
      </c>
      <c r="C7" s="0" t="s">
        <v>127</v>
      </c>
      <c r="D7" s="0" t="s">
        <v>121</v>
      </c>
      <c r="E7" s="0" t="s">
        <v>122</v>
      </c>
      <c r="F7" s="0">
        <v>0</v>
      </c>
      <c r="G7" s="0" t="s">
        <v>106</v>
      </c>
      <c r="H7" s="0">
        <v>0</v>
      </c>
      <c r="I7" s="0">
        <v>0</v>
      </c>
      <c r="J7" s="0">
        <v>0</v>
      </c>
      <c r="K7" s="0">
        <v>0</v>
      </c>
      <c r="L7" s="0">
        <v>0</v>
      </c>
      <c r="M7" s="0">
        <v>0</v>
      </c>
      <c r="N7" s="0">
        <v>0</v>
      </c>
      <c r="O7" s="0">
        <v>0</v>
      </c>
      <c r="P7" s="0">
        <v>0</v>
      </c>
      <c r="Q7" s="0">
        <v>0</v>
      </c>
      <c r="R7" s="0">
        <v>0</v>
      </c>
      <c r="S7" s="0">
        <v>0</v>
      </c>
      <c r="T7" s="0">
        <v>0</v>
      </c>
      <c r="U7" s="0" t="b">
        <v>0</v>
      </c>
      <c r="V7" s="2">
        <v>44613.583333333336</v>
      </c>
      <c r="W7" s="2">
        <v>44613.625</v>
      </c>
      <c r="X7" s="2">
        <v>44613.208333333336</v>
      </c>
      <c r="Y7" s="2">
        <v>44613.25</v>
      </c>
      <c r="Z7" s="0">
        <v>60</v>
      </c>
      <c r="AA7" s="0">
        <v>12</v>
      </c>
      <c r="AB7" s="0">
        <v>39</v>
      </c>
      <c r="AC7" s="1">
        <f>=HYPERLINK("10.175.1.14\MWEB.12\TIER\EntityDetails.10.175.1.14.MWEB.12.shmweb0x0an-.39.xlsx", "&lt;Detail&gt;")</f>
      </c>
      <c r="AD7" s="1">
        <f>=HYPERLINK("10.175.1.14\MWEB.12\TIER\MetricGraphs.TIER.10.175.1.14.MWEB.12.xlsx", "&lt;Metrics&gt;")</f>
      </c>
      <c r="AE7" s="1">
        <f>=HYPERLINK("10.175.1.14\MWEB.12\TIER\FlameGraph.Tier.10.175.1.14.MWEB.12.shmweb0x0an-.39.svg", "&lt;FlGraph&gt;")</f>
      </c>
      <c r="AF7" s="1">
        <f>=HYPERLINK("10.175.1.14\MWEB.12\TIER\FlameChart.Tier.10.175.1.14.MWEB.12.shmweb0x0an-.39.svg", "&lt;FlChart&gt;")</f>
      </c>
      <c r="AG7" s="0" t="s">
        <v>107</v>
      </c>
      <c r="AH7" s="0" t="s">
        <v>108</v>
      </c>
      <c r="AI7" s="0" t="s">
        <v>128</v>
      </c>
      <c r="AJ7" s="0" t="s">
        <v>109</v>
      </c>
    </row>
    <row r="8">
      <c r="A8" s="0" t="s">
        <v>28</v>
      </c>
      <c r="B8" s="0" t="s">
        <v>30</v>
      </c>
      <c r="C8" s="0" t="s">
        <v>129</v>
      </c>
      <c r="D8" s="0" t="s">
        <v>121</v>
      </c>
      <c r="E8" s="0" t="s">
        <v>122</v>
      </c>
      <c r="F8" s="0">
        <v>0</v>
      </c>
      <c r="G8" s="0" t="s">
        <v>106</v>
      </c>
      <c r="H8" s="0">
        <v>0</v>
      </c>
      <c r="I8" s="0">
        <v>0</v>
      </c>
      <c r="J8" s="0">
        <v>0</v>
      </c>
      <c r="K8" s="0">
        <v>0</v>
      </c>
      <c r="L8" s="0">
        <v>0</v>
      </c>
      <c r="M8" s="0">
        <v>0</v>
      </c>
      <c r="N8" s="0">
        <v>0</v>
      </c>
      <c r="O8" s="0">
        <v>0</v>
      </c>
      <c r="P8" s="0">
        <v>0</v>
      </c>
      <c r="Q8" s="0">
        <v>0</v>
      </c>
      <c r="R8" s="0">
        <v>0</v>
      </c>
      <c r="S8" s="0">
        <v>0</v>
      </c>
      <c r="T8" s="0">
        <v>0</v>
      </c>
      <c r="U8" s="0" t="b">
        <v>0</v>
      </c>
      <c r="V8" s="2">
        <v>44613.583333333336</v>
      </c>
      <c r="W8" s="2">
        <v>44613.625</v>
      </c>
      <c r="X8" s="2">
        <v>44613.208333333336</v>
      </c>
      <c r="Y8" s="2">
        <v>44613.25</v>
      </c>
      <c r="Z8" s="0">
        <v>60</v>
      </c>
      <c r="AA8" s="0">
        <v>12</v>
      </c>
      <c r="AB8" s="0">
        <v>41</v>
      </c>
      <c r="AC8" s="1">
        <f>=HYPERLINK("10.175.1.14\MWEB.12\TIER\EntityDetails.10.175.1.14.MWEB.12.shmweb0x0an-.41.xlsx", "&lt;Detail&gt;")</f>
      </c>
      <c r="AD8" s="1">
        <f>=HYPERLINK("10.175.1.14\MWEB.12\TIER\MetricGraphs.TIER.10.175.1.14.MWEB.12.xlsx", "&lt;Metrics&gt;")</f>
      </c>
      <c r="AE8" s="1">
        <f>=HYPERLINK("10.175.1.14\MWEB.12\TIER\FlameGraph.Tier.10.175.1.14.MWEB.12.shmweb0x0an-.41.svg", "&lt;FlGraph&gt;")</f>
      </c>
      <c r="AF8" s="1">
        <f>=HYPERLINK("10.175.1.14\MWEB.12\TIER\FlameChart.Tier.10.175.1.14.MWEB.12.shmweb0x0an-.41.svg", "&lt;FlChart&gt;")</f>
      </c>
      <c r="AG8" s="0" t="s">
        <v>107</v>
      </c>
      <c r="AH8" s="0" t="s">
        <v>108</v>
      </c>
      <c r="AI8" s="0" t="s">
        <v>130</v>
      </c>
      <c r="AJ8" s="0" t="s">
        <v>109</v>
      </c>
    </row>
    <row r="9">
      <c r="A9" s="0" t="s">
        <v>28</v>
      </c>
      <c r="B9" s="0" t="s">
        <v>30</v>
      </c>
      <c r="C9" s="0" t="s">
        <v>131</v>
      </c>
      <c r="D9" s="0" t="s">
        <v>121</v>
      </c>
      <c r="E9" s="0" t="s">
        <v>122</v>
      </c>
      <c r="F9" s="0">
        <v>0</v>
      </c>
      <c r="G9" s="0" t="s">
        <v>106</v>
      </c>
      <c r="H9" s="0">
        <v>0</v>
      </c>
      <c r="I9" s="0">
        <v>0</v>
      </c>
      <c r="J9" s="0">
        <v>0</v>
      </c>
      <c r="K9" s="0">
        <v>0</v>
      </c>
      <c r="L9" s="0">
        <v>0</v>
      </c>
      <c r="M9" s="0">
        <v>0</v>
      </c>
      <c r="N9" s="0">
        <v>0</v>
      </c>
      <c r="O9" s="0">
        <v>0</v>
      </c>
      <c r="P9" s="0">
        <v>0</v>
      </c>
      <c r="Q9" s="0">
        <v>0</v>
      </c>
      <c r="R9" s="0">
        <v>0</v>
      </c>
      <c r="S9" s="0">
        <v>0</v>
      </c>
      <c r="T9" s="0">
        <v>0</v>
      </c>
      <c r="U9" s="0" t="b">
        <v>0</v>
      </c>
      <c r="V9" s="2">
        <v>44613.583333333336</v>
      </c>
      <c r="W9" s="2">
        <v>44613.625</v>
      </c>
      <c r="X9" s="2">
        <v>44613.208333333336</v>
      </c>
      <c r="Y9" s="2">
        <v>44613.25</v>
      </c>
      <c r="Z9" s="0">
        <v>60</v>
      </c>
      <c r="AA9" s="0">
        <v>12</v>
      </c>
      <c r="AB9" s="0">
        <v>40</v>
      </c>
      <c r="AC9" s="1">
        <f>=HYPERLINK("10.175.1.14\MWEB.12\TIER\EntityDetails.10.175.1.14.MWEB.12.shmweb0x0an-.40.xlsx", "&lt;Detail&gt;")</f>
      </c>
      <c r="AD9" s="1">
        <f>=HYPERLINK("10.175.1.14\MWEB.12\TIER\MetricGraphs.TIER.10.175.1.14.MWEB.12.xlsx", "&lt;Metrics&gt;")</f>
      </c>
      <c r="AE9" s="1">
        <f>=HYPERLINK("10.175.1.14\MWEB.12\TIER\FlameGraph.Tier.10.175.1.14.MWEB.12.shmweb0x0an-.40.svg", "&lt;FlGraph&gt;")</f>
      </c>
      <c r="AF9" s="1">
        <f>=HYPERLINK("10.175.1.14\MWEB.12\TIER\FlameChart.Tier.10.175.1.14.MWEB.12.shmweb0x0an-.40.svg", "&lt;FlChart&gt;")</f>
      </c>
      <c r="AG9" s="0" t="s">
        <v>107</v>
      </c>
      <c r="AH9" s="0" t="s">
        <v>108</v>
      </c>
      <c r="AI9" s="0" t="s">
        <v>132</v>
      </c>
      <c r="AJ9" s="0" t="s">
        <v>109</v>
      </c>
    </row>
    <row r="10">
      <c r="A10" s="0" t="s">
        <v>28</v>
      </c>
      <c r="B10" s="0" t="s">
        <v>30</v>
      </c>
      <c r="C10" s="0" t="s">
        <v>133</v>
      </c>
      <c r="D10" s="0" t="s">
        <v>121</v>
      </c>
      <c r="E10" s="0" t="s">
        <v>122</v>
      </c>
      <c r="F10" s="0">
        <v>0</v>
      </c>
      <c r="G10" s="0" t="s">
        <v>106</v>
      </c>
      <c r="H10" s="0">
        <v>0</v>
      </c>
      <c r="I10" s="0">
        <v>0</v>
      </c>
      <c r="J10" s="0">
        <v>0</v>
      </c>
      <c r="K10" s="0">
        <v>0</v>
      </c>
      <c r="L10" s="0">
        <v>0</v>
      </c>
      <c r="M10" s="0">
        <v>0</v>
      </c>
      <c r="N10" s="0">
        <v>0</v>
      </c>
      <c r="O10" s="0">
        <v>0</v>
      </c>
      <c r="P10" s="0">
        <v>0</v>
      </c>
      <c r="Q10" s="0">
        <v>0</v>
      </c>
      <c r="R10" s="0">
        <v>0</v>
      </c>
      <c r="S10" s="0">
        <v>0</v>
      </c>
      <c r="T10" s="0">
        <v>0</v>
      </c>
      <c r="U10" s="0" t="b">
        <v>0</v>
      </c>
      <c r="V10" s="2">
        <v>44613.583333333336</v>
      </c>
      <c r="W10" s="2">
        <v>44613.625</v>
      </c>
      <c r="X10" s="2">
        <v>44613.208333333336</v>
      </c>
      <c r="Y10" s="2">
        <v>44613.25</v>
      </c>
      <c r="Z10" s="0">
        <v>60</v>
      </c>
      <c r="AA10" s="0">
        <v>12</v>
      </c>
      <c r="AB10" s="0">
        <v>36</v>
      </c>
      <c r="AC10" s="1">
        <f>=HYPERLINK("10.175.1.14\MWEB.12\TIER\EntityDetails.10.175.1.14.MWEB.12.shmweb0x0at-.36.xlsx", "&lt;Detail&gt;")</f>
      </c>
      <c r="AD10" s="1">
        <f>=HYPERLINK("10.175.1.14\MWEB.12\TIER\MetricGraphs.TIER.10.175.1.14.MWEB.12.xlsx", "&lt;Metrics&gt;")</f>
      </c>
      <c r="AE10" s="1">
        <f>=HYPERLINK("10.175.1.14\MWEB.12\TIER\FlameGraph.Tier.10.175.1.14.MWEB.12.shmweb0x0at-.36.svg", "&lt;FlGraph&gt;")</f>
      </c>
      <c r="AF10" s="1">
        <f>=HYPERLINK("10.175.1.14\MWEB.12\TIER\FlameChart.Tier.10.175.1.14.MWEB.12.shmweb0x0at-.36.svg", "&lt;FlChart&gt;")</f>
      </c>
      <c r="AG10" s="0" t="s">
        <v>107</v>
      </c>
      <c r="AH10" s="0" t="s">
        <v>108</v>
      </c>
      <c r="AI10" s="0" t="s">
        <v>134</v>
      </c>
      <c r="AJ10" s="0" t="s">
        <v>109</v>
      </c>
    </row>
    <row r="11">
      <c r="A11" s="0" t="s">
        <v>28</v>
      </c>
      <c r="B11" s="0" t="s">
        <v>30</v>
      </c>
      <c r="C11" s="0" t="s">
        <v>135</v>
      </c>
      <c r="D11" s="0" t="s">
        <v>121</v>
      </c>
      <c r="E11" s="0" t="s">
        <v>122</v>
      </c>
      <c r="F11" s="0">
        <v>0</v>
      </c>
      <c r="G11" s="0" t="s">
        <v>106</v>
      </c>
      <c r="H11" s="0">
        <v>0</v>
      </c>
      <c r="I11" s="0">
        <v>0</v>
      </c>
      <c r="J11" s="0">
        <v>0</v>
      </c>
      <c r="K11" s="0">
        <v>0</v>
      </c>
      <c r="L11" s="0">
        <v>0</v>
      </c>
      <c r="M11" s="0">
        <v>0</v>
      </c>
      <c r="N11" s="0">
        <v>0</v>
      </c>
      <c r="O11" s="0">
        <v>0</v>
      </c>
      <c r="P11" s="0">
        <v>0</v>
      </c>
      <c r="Q11" s="0">
        <v>0</v>
      </c>
      <c r="R11" s="0">
        <v>0</v>
      </c>
      <c r="S11" s="0">
        <v>0</v>
      </c>
      <c r="T11" s="0">
        <v>0</v>
      </c>
      <c r="U11" s="0" t="b">
        <v>0</v>
      </c>
      <c r="V11" s="2">
        <v>44613.583333333336</v>
      </c>
      <c r="W11" s="2">
        <v>44613.625</v>
      </c>
      <c r="X11" s="2">
        <v>44613.208333333336</v>
      </c>
      <c r="Y11" s="2">
        <v>44613.25</v>
      </c>
      <c r="Z11" s="0">
        <v>60</v>
      </c>
      <c r="AA11" s="0">
        <v>12</v>
      </c>
      <c r="AB11" s="0">
        <v>37</v>
      </c>
      <c r="AC11" s="1">
        <f>=HYPERLINK("10.175.1.14\MWEB.12\TIER\EntityDetails.10.175.1.14.MWEB.12.shmweb0x0at-.37.xlsx", "&lt;Detail&gt;")</f>
      </c>
      <c r="AD11" s="1">
        <f>=HYPERLINK("10.175.1.14\MWEB.12\TIER\MetricGraphs.TIER.10.175.1.14.MWEB.12.xlsx", "&lt;Metrics&gt;")</f>
      </c>
      <c r="AE11" s="1">
        <f>=HYPERLINK("10.175.1.14\MWEB.12\TIER\FlameGraph.Tier.10.175.1.14.MWEB.12.shmweb0x0at-.37.svg", "&lt;FlGraph&gt;")</f>
      </c>
      <c r="AF11" s="1">
        <f>=HYPERLINK("10.175.1.14\MWEB.12\TIER\FlameChart.Tier.10.175.1.14.MWEB.12.shmweb0x0at-.37.svg", "&lt;FlChart&gt;")</f>
      </c>
      <c r="AG11" s="0" t="s">
        <v>107</v>
      </c>
      <c r="AH11" s="0" t="s">
        <v>108</v>
      </c>
      <c r="AI11" s="0" t="s">
        <v>136</v>
      </c>
      <c r="AJ11" s="0" t="s">
        <v>109</v>
      </c>
    </row>
    <row r="12">
      <c r="A12" s="0" t="s">
        <v>28</v>
      </c>
      <c r="B12" s="0" t="s">
        <v>30</v>
      </c>
      <c r="C12" s="0" t="s">
        <v>137</v>
      </c>
      <c r="D12" s="0" t="s">
        <v>121</v>
      </c>
      <c r="E12" s="0" t="s">
        <v>122</v>
      </c>
      <c r="F12" s="0">
        <v>0</v>
      </c>
      <c r="G12" s="0" t="s">
        <v>106</v>
      </c>
      <c r="H12" s="0">
        <v>0</v>
      </c>
      <c r="I12" s="0">
        <v>0</v>
      </c>
      <c r="J12" s="0">
        <v>0</v>
      </c>
      <c r="K12" s="0">
        <v>0</v>
      </c>
      <c r="L12" s="0">
        <v>0</v>
      </c>
      <c r="M12" s="0">
        <v>0</v>
      </c>
      <c r="N12" s="0">
        <v>0</v>
      </c>
      <c r="O12" s="0">
        <v>0</v>
      </c>
      <c r="P12" s="0">
        <v>0</v>
      </c>
      <c r="Q12" s="0">
        <v>0</v>
      </c>
      <c r="R12" s="0">
        <v>0</v>
      </c>
      <c r="S12" s="0">
        <v>0</v>
      </c>
      <c r="T12" s="0">
        <v>0</v>
      </c>
      <c r="U12" s="0" t="b">
        <v>0</v>
      </c>
      <c r="V12" s="2">
        <v>44613.583333333336</v>
      </c>
      <c r="W12" s="2">
        <v>44613.625</v>
      </c>
      <c r="X12" s="2">
        <v>44613.208333333336</v>
      </c>
      <c r="Y12" s="2">
        <v>44613.25</v>
      </c>
      <c r="Z12" s="0">
        <v>60</v>
      </c>
      <c r="AA12" s="0">
        <v>12</v>
      </c>
      <c r="AB12" s="0">
        <v>38</v>
      </c>
      <c r="AC12" s="1">
        <f>=HYPERLINK("10.175.1.14\MWEB.12\TIER\EntityDetails.10.175.1.14.MWEB.12.shmweb0x0at-.38.xlsx", "&lt;Detail&gt;")</f>
      </c>
      <c r="AD12" s="1">
        <f>=HYPERLINK("10.175.1.14\MWEB.12\TIER\MetricGraphs.TIER.10.175.1.14.MWEB.12.xlsx", "&lt;Metrics&gt;")</f>
      </c>
      <c r="AE12" s="1">
        <f>=HYPERLINK("10.175.1.14\MWEB.12\TIER\FlameGraph.Tier.10.175.1.14.MWEB.12.shmweb0x0at-.38.svg", "&lt;FlGraph&gt;")</f>
      </c>
      <c r="AF12" s="1">
        <f>=HYPERLINK("10.175.1.14\MWEB.12\TIER\FlameChart.Tier.10.175.1.14.MWEB.12.shmweb0x0at-.38.svg", "&lt;FlChart&gt;")</f>
      </c>
      <c r="AG12" s="0" t="s">
        <v>107</v>
      </c>
      <c r="AH12" s="0" t="s">
        <v>108</v>
      </c>
      <c r="AI12" s="0" t="s">
        <v>138</v>
      </c>
      <c r="AJ12" s="0" t="s">
        <v>109</v>
      </c>
    </row>
    <row r="13">
      <c r="A13" s="0" t="s">
        <v>28</v>
      </c>
      <c r="B13" s="0" t="s">
        <v>30</v>
      </c>
      <c r="C13" s="0" t="s">
        <v>139</v>
      </c>
      <c r="D13" s="0" t="s">
        <v>140</v>
      </c>
      <c r="E13" s="0" t="s">
        <v>141</v>
      </c>
      <c r="F13" s="0">
        <v>0</v>
      </c>
      <c r="G13" s="0" t="s">
        <v>106</v>
      </c>
      <c r="H13" s="0">
        <v>0</v>
      </c>
      <c r="I13" s="0">
        <v>0</v>
      </c>
      <c r="J13" s="0">
        <v>0</v>
      </c>
      <c r="K13" s="0">
        <v>0</v>
      </c>
      <c r="L13" s="0">
        <v>0</v>
      </c>
      <c r="M13" s="0">
        <v>0</v>
      </c>
      <c r="N13" s="0">
        <v>0</v>
      </c>
      <c r="O13" s="0">
        <v>0</v>
      </c>
      <c r="P13" s="0">
        <v>0</v>
      </c>
      <c r="Q13" s="0">
        <v>0</v>
      </c>
      <c r="R13" s="0">
        <v>0</v>
      </c>
      <c r="S13" s="0">
        <v>0</v>
      </c>
      <c r="T13" s="0">
        <v>0</v>
      </c>
      <c r="U13" s="0" t="b">
        <v>0</v>
      </c>
      <c r="V13" s="2">
        <v>44613.583333333336</v>
      </c>
      <c r="W13" s="2">
        <v>44613.625</v>
      </c>
      <c r="X13" s="2">
        <v>44613.208333333336</v>
      </c>
      <c r="Y13" s="2">
        <v>44613.25</v>
      </c>
      <c r="Z13" s="0">
        <v>60</v>
      </c>
      <c r="AA13" s="0">
        <v>12</v>
      </c>
      <c r="AB13" s="0">
        <v>35</v>
      </c>
      <c r="AC13" s="1">
        <f>=HYPERLINK("10.175.1.14\MWEB.12\TIER\EntityDetails.10.175.1.14.MWEB.12.shmweb0x0cp-.35.xlsx", "&lt;Detail&gt;")</f>
      </c>
      <c r="AD13" s="1">
        <f>=HYPERLINK("10.175.1.14\MWEB.12\TIER\MetricGraphs.TIER.10.175.1.14.MWEB.12.xlsx", "&lt;Metrics&gt;")</f>
      </c>
      <c r="AE13" s="1">
        <f>=HYPERLINK("10.175.1.14\MWEB.12\TIER\FlameGraph.Tier.10.175.1.14.MWEB.12.shmweb0x0cp-.35.svg", "&lt;FlGraph&gt;")</f>
      </c>
      <c r="AF13" s="1">
        <f>=HYPERLINK("10.175.1.14\MWEB.12\TIER\FlameChart.Tier.10.175.1.14.MWEB.12.shmweb0x0cp-.35.svg", "&lt;FlChart&gt;")</f>
      </c>
      <c r="AG13" s="0" t="s">
        <v>107</v>
      </c>
      <c r="AH13" s="0" t="s">
        <v>108</v>
      </c>
      <c r="AI13" s="0" t="s">
        <v>142</v>
      </c>
      <c r="AJ13" s="0" t="s">
        <v>109</v>
      </c>
    </row>
    <row r="14">
      <c r="A14" s="0" t="s">
        <v>28</v>
      </c>
      <c r="B14" s="0" t="s">
        <v>30</v>
      </c>
      <c r="C14" s="0" t="s">
        <v>143</v>
      </c>
      <c r="D14" s="0" t="s">
        <v>121</v>
      </c>
      <c r="E14" s="0" t="s">
        <v>122</v>
      </c>
      <c r="F14" s="0">
        <v>0</v>
      </c>
      <c r="G14" s="0" t="s">
        <v>106</v>
      </c>
      <c r="H14" s="0">
        <v>0</v>
      </c>
      <c r="I14" s="0">
        <v>0</v>
      </c>
      <c r="J14" s="0">
        <v>0</v>
      </c>
      <c r="K14" s="0">
        <v>0</v>
      </c>
      <c r="L14" s="0">
        <v>0</v>
      </c>
      <c r="M14" s="0">
        <v>0</v>
      </c>
      <c r="N14" s="0">
        <v>0</v>
      </c>
      <c r="O14" s="0">
        <v>0</v>
      </c>
      <c r="P14" s="0">
        <v>0</v>
      </c>
      <c r="Q14" s="0">
        <v>0</v>
      </c>
      <c r="R14" s="0">
        <v>0</v>
      </c>
      <c r="S14" s="0">
        <v>0</v>
      </c>
      <c r="T14" s="0">
        <v>0</v>
      </c>
      <c r="U14" s="0" t="b">
        <v>0</v>
      </c>
      <c r="V14" s="2">
        <v>44613.583333333336</v>
      </c>
      <c r="W14" s="2">
        <v>44613.625</v>
      </c>
      <c r="X14" s="2">
        <v>44613.208333333336</v>
      </c>
      <c r="Y14" s="2">
        <v>44613.25</v>
      </c>
      <c r="Z14" s="0">
        <v>60</v>
      </c>
      <c r="AA14" s="0">
        <v>12</v>
      </c>
      <c r="AB14" s="0">
        <v>43</v>
      </c>
      <c r="AC14" s="1">
        <f>=HYPERLINK("10.175.1.14\MWEB.12\TIER\EntityDetails.10.175.1.14.MWEB.12.shmweb0x0fp-.43.xlsx", "&lt;Detail&gt;")</f>
      </c>
      <c r="AD14" s="1">
        <f>=HYPERLINK("10.175.1.14\MWEB.12\TIER\MetricGraphs.TIER.10.175.1.14.MWEB.12.xlsx", "&lt;Metrics&gt;")</f>
      </c>
      <c r="AE14" s="1">
        <f>=HYPERLINK("10.175.1.14\MWEB.12\TIER\FlameGraph.Tier.10.175.1.14.MWEB.12.shmweb0x0fp-.43.svg", "&lt;FlGraph&gt;")</f>
      </c>
      <c r="AF14" s="1">
        <f>=HYPERLINK("10.175.1.14\MWEB.12\TIER\FlameChart.Tier.10.175.1.14.MWEB.12.shmweb0x0fp-.43.svg", "&lt;FlChart&gt;")</f>
      </c>
      <c r="AG14" s="0" t="s">
        <v>107</v>
      </c>
      <c r="AH14" s="0" t="s">
        <v>108</v>
      </c>
      <c r="AI14" s="0" t="s">
        <v>144</v>
      </c>
      <c r="AJ14" s="0" t="s">
        <v>109</v>
      </c>
    </row>
    <row r="15">
      <c r="A15" s="0" t="s">
        <v>28</v>
      </c>
      <c r="B15" s="0" t="s">
        <v>30</v>
      </c>
      <c r="C15" s="0" t="s">
        <v>145</v>
      </c>
      <c r="D15" s="0" t="s">
        <v>121</v>
      </c>
      <c r="E15" s="0" t="s">
        <v>122</v>
      </c>
      <c r="F15" s="0">
        <v>0</v>
      </c>
      <c r="G15" s="0" t="s">
        <v>106</v>
      </c>
      <c r="H15" s="0">
        <v>0</v>
      </c>
      <c r="I15" s="0">
        <v>0</v>
      </c>
      <c r="J15" s="0">
        <v>0</v>
      </c>
      <c r="K15" s="0">
        <v>0</v>
      </c>
      <c r="L15" s="0">
        <v>0</v>
      </c>
      <c r="M15" s="0">
        <v>0</v>
      </c>
      <c r="N15" s="0">
        <v>0</v>
      </c>
      <c r="O15" s="0">
        <v>0</v>
      </c>
      <c r="P15" s="0">
        <v>0</v>
      </c>
      <c r="Q15" s="0">
        <v>0</v>
      </c>
      <c r="R15" s="0">
        <v>0</v>
      </c>
      <c r="S15" s="0">
        <v>0</v>
      </c>
      <c r="T15" s="0">
        <v>0</v>
      </c>
      <c r="U15" s="0" t="b">
        <v>0</v>
      </c>
      <c r="V15" s="2">
        <v>44613.583333333336</v>
      </c>
      <c r="W15" s="2">
        <v>44613.625</v>
      </c>
      <c r="X15" s="2">
        <v>44613.208333333336</v>
      </c>
      <c r="Y15" s="2">
        <v>44613.25</v>
      </c>
      <c r="Z15" s="0">
        <v>60</v>
      </c>
      <c r="AA15" s="0">
        <v>12</v>
      </c>
      <c r="AB15" s="0">
        <v>34</v>
      </c>
      <c r="AC15" s="1">
        <f>=HYPERLINK("10.175.1.14\MWEB.12\TIER\EntityDetails.10.175.1.14.MWEB.12.shmweb0x0od-.34.xlsx", "&lt;Detail&gt;")</f>
      </c>
      <c r="AD15" s="1">
        <f>=HYPERLINK("10.175.1.14\MWEB.12\TIER\MetricGraphs.TIER.10.175.1.14.MWEB.12.xlsx", "&lt;Metrics&gt;")</f>
      </c>
      <c r="AE15" s="1">
        <f>=HYPERLINK("10.175.1.14\MWEB.12\TIER\FlameGraph.Tier.10.175.1.14.MWEB.12.shmweb0x0od-.34.svg", "&lt;FlGraph&gt;")</f>
      </c>
      <c r="AF15" s="1">
        <f>=HYPERLINK("10.175.1.14\MWEB.12\TIER\FlameChart.Tier.10.175.1.14.MWEB.12.shmweb0x0od-.34.svg", "&lt;FlChart&gt;")</f>
      </c>
      <c r="AG15" s="0" t="s">
        <v>107</v>
      </c>
      <c r="AH15" s="0" t="s">
        <v>108</v>
      </c>
      <c r="AI15" s="0" t="s">
        <v>146</v>
      </c>
      <c r="AJ15" s="0" t="s">
        <v>109</v>
      </c>
    </row>
    <row r="16">
      <c r="A16" s="0" t="s">
        <v>28</v>
      </c>
      <c r="B16" s="0" t="s">
        <v>30</v>
      </c>
      <c r="C16" s="0" t="s">
        <v>147</v>
      </c>
      <c r="D16" s="0" t="s">
        <v>121</v>
      </c>
      <c r="E16" s="0" t="s">
        <v>122</v>
      </c>
      <c r="F16" s="0">
        <v>0</v>
      </c>
      <c r="G16" s="0" t="s">
        <v>106</v>
      </c>
      <c r="H16" s="0">
        <v>0</v>
      </c>
      <c r="I16" s="0">
        <v>0</v>
      </c>
      <c r="J16" s="0">
        <v>0</v>
      </c>
      <c r="K16" s="0">
        <v>0</v>
      </c>
      <c r="L16" s="0">
        <v>0</v>
      </c>
      <c r="M16" s="0">
        <v>0</v>
      </c>
      <c r="N16" s="0">
        <v>0</v>
      </c>
      <c r="O16" s="0">
        <v>0</v>
      </c>
      <c r="P16" s="0">
        <v>0</v>
      </c>
      <c r="Q16" s="0">
        <v>0</v>
      </c>
      <c r="R16" s="0">
        <v>2</v>
      </c>
      <c r="S16" s="0">
        <v>0</v>
      </c>
      <c r="T16" s="0">
        <v>0</v>
      </c>
      <c r="U16" s="0" t="b">
        <v>0</v>
      </c>
      <c r="V16" s="2">
        <v>44613.583333333336</v>
      </c>
      <c r="W16" s="2">
        <v>44613.625</v>
      </c>
      <c r="X16" s="2">
        <v>44613.208333333336</v>
      </c>
      <c r="Y16" s="2">
        <v>44613.25</v>
      </c>
      <c r="Z16" s="0">
        <v>60</v>
      </c>
      <c r="AA16" s="0">
        <v>12</v>
      </c>
      <c r="AB16" s="0">
        <v>49</v>
      </c>
      <c r="AC16" s="1">
        <f>=HYPERLINK("10.175.1.14\MWEB.12\TIER\EntityDetails.10.175.1.14.MWEB.12.skmweb2x0am-.49.xlsx", "&lt;Detail&gt;")</f>
      </c>
      <c r="AD16" s="1">
        <f>=HYPERLINK("10.175.1.14\MWEB.12\TIER\MetricGraphs.TIER.10.175.1.14.MWEB.12.xlsx", "&lt;Metrics&gt;")</f>
      </c>
      <c r="AE16" s="1">
        <f>=HYPERLINK("10.175.1.14\MWEB.12\TIER\FlameGraph.Tier.10.175.1.14.MWEB.12.skmweb2x0am-.49.svg", "&lt;FlGraph&gt;")</f>
      </c>
      <c r="AF16" s="1">
        <f>=HYPERLINK("10.175.1.14\MWEB.12\TIER\FlameChart.Tier.10.175.1.14.MWEB.12.skmweb2x0am-.49.svg", "&lt;FlChart&gt;")</f>
      </c>
      <c r="AG16" s="0" t="s">
        <v>107</v>
      </c>
      <c r="AH16" s="0" t="s">
        <v>108</v>
      </c>
      <c r="AI16" s="0" t="s">
        <v>148</v>
      </c>
      <c r="AJ16" s="0" t="s">
        <v>109</v>
      </c>
    </row>
    <row r="17">
      <c r="A17" s="0" t="s">
        <v>28</v>
      </c>
      <c r="B17" s="0" t="s">
        <v>30</v>
      </c>
      <c r="C17" s="0" t="s">
        <v>149</v>
      </c>
      <c r="D17" s="0" t="s">
        <v>121</v>
      </c>
      <c r="E17" s="0" t="s">
        <v>122</v>
      </c>
      <c r="F17" s="0">
        <v>0</v>
      </c>
      <c r="G17" s="0" t="s">
        <v>106</v>
      </c>
      <c r="H17" s="0">
        <v>0</v>
      </c>
      <c r="I17" s="0">
        <v>0</v>
      </c>
      <c r="J17" s="0">
        <v>0</v>
      </c>
      <c r="K17" s="0">
        <v>0</v>
      </c>
      <c r="L17" s="0">
        <v>0</v>
      </c>
      <c r="M17" s="0">
        <v>0</v>
      </c>
      <c r="N17" s="0">
        <v>0</v>
      </c>
      <c r="O17" s="0">
        <v>0</v>
      </c>
      <c r="P17" s="0">
        <v>0</v>
      </c>
      <c r="Q17" s="0">
        <v>0</v>
      </c>
      <c r="R17" s="0">
        <v>1</v>
      </c>
      <c r="S17" s="0">
        <v>0</v>
      </c>
      <c r="T17" s="0">
        <v>0</v>
      </c>
      <c r="U17" s="0" t="b">
        <v>0</v>
      </c>
      <c r="V17" s="2">
        <v>44613.583333333336</v>
      </c>
      <c r="W17" s="2">
        <v>44613.625</v>
      </c>
      <c r="X17" s="2">
        <v>44613.208333333336</v>
      </c>
      <c r="Y17" s="2">
        <v>44613.25</v>
      </c>
      <c r="Z17" s="0">
        <v>60</v>
      </c>
      <c r="AA17" s="0">
        <v>12</v>
      </c>
      <c r="AB17" s="0">
        <v>50</v>
      </c>
      <c r="AC17" s="1">
        <f>=HYPERLINK("10.175.1.14\MWEB.12\TIER\EntityDetails.10.175.1.14.MWEB.12.skmweb2x0an-.50.xlsx", "&lt;Detail&gt;")</f>
      </c>
      <c r="AD17" s="1">
        <f>=HYPERLINK("10.175.1.14\MWEB.12\TIER\MetricGraphs.TIER.10.175.1.14.MWEB.12.xlsx", "&lt;Metrics&gt;")</f>
      </c>
      <c r="AE17" s="1">
        <f>=HYPERLINK("10.175.1.14\MWEB.12\TIER\FlameGraph.Tier.10.175.1.14.MWEB.12.skmweb2x0an-.50.svg", "&lt;FlGraph&gt;")</f>
      </c>
      <c r="AF17" s="1">
        <f>=HYPERLINK("10.175.1.14\MWEB.12\TIER\FlameChart.Tier.10.175.1.14.MWEB.12.skmweb2x0an-.50.svg", "&lt;FlChart&gt;")</f>
      </c>
      <c r="AG17" s="0" t="s">
        <v>107</v>
      </c>
      <c r="AH17" s="0" t="s">
        <v>108</v>
      </c>
      <c r="AI17" s="0" t="s">
        <v>150</v>
      </c>
      <c r="AJ17" s="0" t="s">
        <v>109</v>
      </c>
    </row>
    <row r="18">
      <c r="A18" s="0" t="s">
        <v>28</v>
      </c>
      <c r="B18" s="0" t="s">
        <v>30</v>
      </c>
      <c r="C18" s="0" t="s">
        <v>151</v>
      </c>
      <c r="D18" s="0" t="s">
        <v>121</v>
      </c>
      <c r="E18" s="0" t="s">
        <v>122</v>
      </c>
      <c r="F18" s="0">
        <v>0</v>
      </c>
      <c r="G18" s="0" t="s">
        <v>106</v>
      </c>
      <c r="H18" s="0">
        <v>0</v>
      </c>
      <c r="I18" s="0">
        <v>0</v>
      </c>
      <c r="J18" s="0">
        <v>0</v>
      </c>
      <c r="K18" s="0">
        <v>0</v>
      </c>
      <c r="L18" s="0">
        <v>0</v>
      </c>
      <c r="M18" s="0">
        <v>0</v>
      </c>
      <c r="N18" s="0">
        <v>0</v>
      </c>
      <c r="O18" s="0">
        <v>0</v>
      </c>
      <c r="P18" s="0">
        <v>0</v>
      </c>
      <c r="Q18" s="0">
        <v>0</v>
      </c>
      <c r="R18" s="0">
        <v>1</v>
      </c>
      <c r="S18" s="0">
        <v>0</v>
      </c>
      <c r="T18" s="0">
        <v>0</v>
      </c>
      <c r="U18" s="0" t="b">
        <v>0</v>
      </c>
      <c r="V18" s="2">
        <v>44613.583333333336</v>
      </c>
      <c r="W18" s="2">
        <v>44613.625</v>
      </c>
      <c r="X18" s="2">
        <v>44613.208333333336</v>
      </c>
      <c r="Y18" s="2">
        <v>44613.25</v>
      </c>
      <c r="Z18" s="0">
        <v>60</v>
      </c>
      <c r="AA18" s="0">
        <v>12</v>
      </c>
      <c r="AB18" s="0">
        <v>52</v>
      </c>
      <c r="AC18" s="1">
        <f>=HYPERLINK("10.175.1.14\MWEB.12\TIER\EntityDetails.10.175.1.14.MWEB.12.skmweb2x0an-.52.xlsx", "&lt;Detail&gt;")</f>
      </c>
      <c r="AD18" s="1">
        <f>=HYPERLINK("10.175.1.14\MWEB.12\TIER\MetricGraphs.TIER.10.175.1.14.MWEB.12.xlsx", "&lt;Metrics&gt;")</f>
      </c>
      <c r="AE18" s="1">
        <f>=HYPERLINK("10.175.1.14\MWEB.12\TIER\FlameGraph.Tier.10.175.1.14.MWEB.12.skmweb2x0an-.52.svg", "&lt;FlGraph&gt;")</f>
      </c>
      <c r="AF18" s="1">
        <f>=HYPERLINK("10.175.1.14\MWEB.12\TIER\FlameChart.Tier.10.175.1.14.MWEB.12.skmweb2x0an-.52.svg", "&lt;FlChart&gt;")</f>
      </c>
      <c r="AG18" s="0" t="s">
        <v>107</v>
      </c>
      <c r="AH18" s="0" t="s">
        <v>108</v>
      </c>
      <c r="AI18" s="0" t="s">
        <v>152</v>
      </c>
      <c r="AJ18" s="0" t="s">
        <v>109</v>
      </c>
    </row>
    <row r="19">
      <c r="A19" s="0" t="s">
        <v>28</v>
      </c>
      <c r="B19" s="0" t="s">
        <v>30</v>
      </c>
      <c r="C19" s="0" t="s">
        <v>153</v>
      </c>
      <c r="D19" s="0" t="s">
        <v>121</v>
      </c>
      <c r="E19" s="0" t="s">
        <v>122</v>
      </c>
      <c r="F19" s="0">
        <v>0</v>
      </c>
      <c r="G19" s="0" t="s">
        <v>106</v>
      </c>
      <c r="H19" s="0">
        <v>0</v>
      </c>
      <c r="I19" s="0">
        <v>0</v>
      </c>
      <c r="J19" s="0">
        <v>0</v>
      </c>
      <c r="K19" s="0">
        <v>0</v>
      </c>
      <c r="L19" s="0">
        <v>0</v>
      </c>
      <c r="M19" s="0">
        <v>0</v>
      </c>
      <c r="N19" s="0">
        <v>0</v>
      </c>
      <c r="O19" s="0">
        <v>0</v>
      </c>
      <c r="P19" s="0">
        <v>0</v>
      </c>
      <c r="Q19" s="0">
        <v>0</v>
      </c>
      <c r="R19" s="0">
        <v>1</v>
      </c>
      <c r="S19" s="0">
        <v>0</v>
      </c>
      <c r="T19" s="0">
        <v>0</v>
      </c>
      <c r="U19" s="0" t="b">
        <v>0</v>
      </c>
      <c r="V19" s="2">
        <v>44613.583333333336</v>
      </c>
      <c r="W19" s="2">
        <v>44613.625</v>
      </c>
      <c r="X19" s="2">
        <v>44613.208333333336</v>
      </c>
      <c r="Y19" s="2">
        <v>44613.25</v>
      </c>
      <c r="Z19" s="0">
        <v>60</v>
      </c>
      <c r="AA19" s="0">
        <v>12</v>
      </c>
      <c r="AB19" s="0">
        <v>51</v>
      </c>
      <c r="AC19" s="1">
        <f>=HYPERLINK("10.175.1.14\MWEB.12\TIER\EntityDetails.10.175.1.14.MWEB.12.skmweb2x0an-.51.xlsx", "&lt;Detail&gt;")</f>
      </c>
      <c r="AD19" s="1">
        <f>=HYPERLINK("10.175.1.14\MWEB.12\TIER\MetricGraphs.TIER.10.175.1.14.MWEB.12.xlsx", "&lt;Metrics&gt;")</f>
      </c>
      <c r="AE19" s="1">
        <f>=HYPERLINK("10.175.1.14\MWEB.12\TIER\FlameGraph.Tier.10.175.1.14.MWEB.12.skmweb2x0an-.51.svg", "&lt;FlGraph&gt;")</f>
      </c>
      <c r="AF19" s="1">
        <f>=HYPERLINK("10.175.1.14\MWEB.12\TIER\FlameChart.Tier.10.175.1.14.MWEB.12.skmweb2x0an-.51.svg", "&lt;FlChart&gt;")</f>
      </c>
      <c r="AG19" s="0" t="s">
        <v>107</v>
      </c>
      <c r="AH19" s="0" t="s">
        <v>108</v>
      </c>
      <c r="AI19" s="0" t="s">
        <v>154</v>
      </c>
      <c r="AJ19" s="0" t="s">
        <v>109</v>
      </c>
    </row>
    <row r="20">
      <c r="A20" s="0" t="s">
        <v>28</v>
      </c>
      <c r="B20" s="0" t="s">
        <v>30</v>
      </c>
      <c r="C20" s="0" t="s">
        <v>155</v>
      </c>
      <c r="D20" s="0" t="s">
        <v>121</v>
      </c>
      <c r="E20" s="0" t="s">
        <v>122</v>
      </c>
      <c r="F20" s="0">
        <v>0</v>
      </c>
      <c r="G20" s="0" t="s">
        <v>106</v>
      </c>
      <c r="H20" s="0">
        <v>0</v>
      </c>
      <c r="I20" s="0">
        <v>0</v>
      </c>
      <c r="J20" s="0">
        <v>0</v>
      </c>
      <c r="K20" s="0">
        <v>0</v>
      </c>
      <c r="L20" s="0">
        <v>0</v>
      </c>
      <c r="M20" s="0">
        <v>0</v>
      </c>
      <c r="N20" s="0">
        <v>0</v>
      </c>
      <c r="O20" s="0">
        <v>0</v>
      </c>
      <c r="P20" s="0">
        <v>0</v>
      </c>
      <c r="Q20" s="0">
        <v>0</v>
      </c>
      <c r="R20" s="0">
        <v>1</v>
      </c>
      <c r="S20" s="0">
        <v>0</v>
      </c>
      <c r="T20" s="0">
        <v>0</v>
      </c>
      <c r="U20" s="0" t="b">
        <v>0</v>
      </c>
      <c r="V20" s="2">
        <v>44613.583333333336</v>
      </c>
      <c r="W20" s="2">
        <v>44613.625</v>
      </c>
      <c r="X20" s="2">
        <v>44613.208333333336</v>
      </c>
      <c r="Y20" s="2">
        <v>44613.25</v>
      </c>
      <c r="Z20" s="0">
        <v>60</v>
      </c>
      <c r="AA20" s="0">
        <v>12</v>
      </c>
      <c r="AB20" s="0">
        <v>54</v>
      </c>
      <c r="AC20" s="1">
        <f>=HYPERLINK("10.175.1.14\MWEB.12\TIER\EntityDetails.10.175.1.14.MWEB.12.skmweb2x0at0.54.xlsx", "&lt;Detail&gt;")</f>
      </c>
      <c r="AD20" s="1">
        <f>=HYPERLINK("10.175.1.14\MWEB.12\TIER\MetricGraphs.TIER.10.175.1.14.MWEB.12.xlsx", "&lt;Metrics&gt;")</f>
      </c>
      <c r="AE20" s="1">
        <f>=HYPERLINK("10.175.1.14\MWEB.12\TIER\FlameGraph.Tier.10.175.1.14.MWEB.12.skmweb2x0at0.54.svg", "&lt;FlGraph&gt;")</f>
      </c>
      <c r="AF20" s="1">
        <f>=HYPERLINK("10.175.1.14\MWEB.12\TIER\FlameChart.Tier.10.175.1.14.MWEB.12.skmweb2x0at0.54.svg", "&lt;FlChart&gt;")</f>
      </c>
      <c r="AG20" s="0" t="s">
        <v>107</v>
      </c>
      <c r="AH20" s="0" t="s">
        <v>108</v>
      </c>
      <c r="AI20" s="0" t="s">
        <v>156</v>
      </c>
      <c r="AJ20" s="0" t="s">
        <v>109</v>
      </c>
    </row>
    <row r="21">
      <c r="A21" s="0" t="s">
        <v>28</v>
      </c>
      <c r="B21" s="0" t="s">
        <v>30</v>
      </c>
      <c r="C21" s="0" t="s">
        <v>157</v>
      </c>
      <c r="D21" s="0" t="s">
        <v>121</v>
      </c>
      <c r="E21" s="0" t="s">
        <v>122</v>
      </c>
      <c r="F21" s="0">
        <v>0</v>
      </c>
      <c r="G21" s="0" t="s">
        <v>106</v>
      </c>
      <c r="H21" s="0">
        <v>0</v>
      </c>
      <c r="I21" s="0">
        <v>0</v>
      </c>
      <c r="J21" s="0">
        <v>0</v>
      </c>
      <c r="K21" s="0">
        <v>0</v>
      </c>
      <c r="L21" s="0">
        <v>0</v>
      </c>
      <c r="M21" s="0">
        <v>0</v>
      </c>
      <c r="N21" s="0">
        <v>0</v>
      </c>
      <c r="O21" s="0">
        <v>0</v>
      </c>
      <c r="P21" s="0">
        <v>0</v>
      </c>
      <c r="Q21" s="0">
        <v>0</v>
      </c>
      <c r="R21" s="0">
        <v>1</v>
      </c>
      <c r="S21" s="0">
        <v>0</v>
      </c>
      <c r="T21" s="0">
        <v>0</v>
      </c>
      <c r="U21" s="0" t="b">
        <v>0</v>
      </c>
      <c r="V21" s="2">
        <v>44613.583333333336</v>
      </c>
      <c r="W21" s="2">
        <v>44613.625</v>
      </c>
      <c r="X21" s="2">
        <v>44613.208333333336</v>
      </c>
      <c r="Y21" s="2">
        <v>44613.25</v>
      </c>
      <c r="Z21" s="0">
        <v>60</v>
      </c>
      <c r="AA21" s="0">
        <v>12</v>
      </c>
      <c r="AB21" s="0">
        <v>53</v>
      </c>
      <c r="AC21" s="1">
        <f>=HYPERLINK("10.175.1.14\MWEB.12\TIER\EntityDetails.10.175.1.14.MWEB.12.skmweb2x0at-.53.xlsx", "&lt;Detail&gt;")</f>
      </c>
      <c r="AD21" s="1">
        <f>=HYPERLINK("10.175.1.14\MWEB.12\TIER\MetricGraphs.TIER.10.175.1.14.MWEB.12.xlsx", "&lt;Metrics&gt;")</f>
      </c>
      <c r="AE21" s="1">
        <f>=HYPERLINK("10.175.1.14\MWEB.12\TIER\FlameGraph.Tier.10.175.1.14.MWEB.12.skmweb2x0at-.53.svg", "&lt;FlGraph&gt;")</f>
      </c>
      <c r="AF21" s="1">
        <f>=HYPERLINK("10.175.1.14\MWEB.12\TIER\FlameChart.Tier.10.175.1.14.MWEB.12.skmweb2x0at-.53.svg", "&lt;FlChart&gt;")</f>
      </c>
      <c r="AG21" s="0" t="s">
        <v>107</v>
      </c>
      <c r="AH21" s="0" t="s">
        <v>108</v>
      </c>
      <c r="AI21" s="0" t="s">
        <v>158</v>
      </c>
      <c r="AJ21" s="0" t="s">
        <v>109</v>
      </c>
    </row>
    <row r="22">
      <c r="A22" s="0" t="s">
        <v>28</v>
      </c>
      <c r="B22" s="0" t="s">
        <v>30</v>
      </c>
      <c r="C22" s="0" t="s">
        <v>159</v>
      </c>
      <c r="D22" s="0" t="s">
        <v>121</v>
      </c>
      <c r="E22" s="0" t="s">
        <v>122</v>
      </c>
      <c r="F22" s="0">
        <v>0</v>
      </c>
      <c r="G22" s="0" t="s">
        <v>106</v>
      </c>
      <c r="H22" s="0">
        <v>0</v>
      </c>
      <c r="I22" s="0">
        <v>0</v>
      </c>
      <c r="J22" s="0">
        <v>0</v>
      </c>
      <c r="K22" s="0">
        <v>0</v>
      </c>
      <c r="L22" s="0">
        <v>0</v>
      </c>
      <c r="M22" s="0">
        <v>0</v>
      </c>
      <c r="N22" s="0">
        <v>0</v>
      </c>
      <c r="O22" s="0">
        <v>0</v>
      </c>
      <c r="P22" s="0">
        <v>0</v>
      </c>
      <c r="Q22" s="0">
        <v>0</v>
      </c>
      <c r="R22" s="0">
        <v>1</v>
      </c>
      <c r="S22" s="0">
        <v>0</v>
      </c>
      <c r="T22" s="0">
        <v>0</v>
      </c>
      <c r="U22" s="0" t="b">
        <v>0</v>
      </c>
      <c r="V22" s="2">
        <v>44613.583333333336</v>
      </c>
      <c r="W22" s="2">
        <v>44613.625</v>
      </c>
      <c r="X22" s="2">
        <v>44613.208333333336</v>
      </c>
      <c r="Y22" s="2">
        <v>44613.25</v>
      </c>
      <c r="Z22" s="0">
        <v>60</v>
      </c>
      <c r="AA22" s="0">
        <v>12</v>
      </c>
      <c r="AB22" s="0">
        <v>56</v>
      </c>
      <c r="AC22" s="1">
        <f>=HYPERLINK("10.175.1.14\MWEB.12\TIER\EntityDetails.10.175.1.14.MWEB.12.skmweb2x0at-.56.xlsx", "&lt;Detail&gt;")</f>
      </c>
      <c r="AD22" s="1">
        <f>=HYPERLINK("10.175.1.14\MWEB.12\TIER\MetricGraphs.TIER.10.175.1.14.MWEB.12.xlsx", "&lt;Metrics&gt;")</f>
      </c>
      <c r="AE22" s="1">
        <f>=HYPERLINK("10.175.1.14\MWEB.12\TIER\FlameGraph.Tier.10.175.1.14.MWEB.12.skmweb2x0at-.56.svg", "&lt;FlGraph&gt;")</f>
      </c>
      <c r="AF22" s="1">
        <f>=HYPERLINK("10.175.1.14\MWEB.12\TIER\FlameChart.Tier.10.175.1.14.MWEB.12.skmweb2x0at-.56.svg", "&lt;FlChart&gt;")</f>
      </c>
      <c r="AG22" s="0" t="s">
        <v>107</v>
      </c>
      <c r="AH22" s="0" t="s">
        <v>108</v>
      </c>
      <c r="AI22" s="0" t="s">
        <v>160</v>
      </c>
      <c r="AJ22" s="0" t="s">
        <v>109</v>
      </c>
    </row>
    <row r="23">
      <c r="A23" s="0" t="s">
        <v>28</v>
      </c>
      <c r="B23" s="0" t="s">
        <v>30</v>
      </c>
      <c r="C23" s="0" t="s">
        <v>161</v>
      </c>
      <c r="D23" s="0" t="s">
        <v>140</v>
      </c>
      <c r="E23" s="0" t="s">
        <v>141</v>
      </c>
      <c r="F23" s="0">
        <v>0</v>
      </c>
      <c r="G23" s="0" t="s">
        <v>106</v>
      </c>
      <c r="H23" s="0">
        <v>0</v>
      </c>
      <c r="I23" s="0">
        <v>0</v>
      </c>
      <c r="J23" s="0">
        <v>0</v>
      </c>
      <c r="K23" s="0">
        <v>0</v>
      </c>
      <c r="L23" s="0">
        <v>0</v>
      </c>
      <c r="M23" s="0">
        <v>0</v>
      </c>
      <c r="N23" s="0">
        <v>0</v>
      </c>
      <c r="O23" s="0">
        <v>0</v>
      </c>
      <c r="P23" s="0">
        <v>0</v>
      </c>
      <c r="Q23" s="0">
        <v>0</v>
      </c>
      <c r="R23" s="0">
        <v>0</v>
      </c>
      <c r="S23" s="0">
        <v>0</v>
      </c>
      <c r="T23" s="0">
        <v>0</v>
      </c>
      <c r="U23" s="0" t="b">
        <v>0</v>
      </c>
      <c r="V23" s="2">
        <v>44613.583333333336</v>
      </c>
      <c r="W23" s="2">
        <v>44613.625</v>
      </c>
      <c r="X23" s="2">
        <v>44613.208333333336</v>
      </c>
      <c r="Y23" s="2">
        <v>44613.25</v>
      </c>
      <c r="Z23" s="0">
        <v>60</v>
      </c>
      <c r="AA23" s="0">
        <v>12</v>
      </c>
      <c r="AB23" s="0">
        <v>48</v>
      </c>
      <c r="AC23" s="1">
        <f>=HYPERLINK("10.175.1.14\MWEB.12\TIER\EntityDetails.10.175.1.14.MWEB.12.skmweb2x0cp-.48.xlsx", "&lt;Detail&gt;")</f>
      </c>
      <c r="AD23" s="1">
        <f>=HYPERLINK("10.175.1.14\MWEB.12\TIER\MetricGraphs.TIER.10.175.1.14.MWEB.12.xlsx", "&lt;Metrics&gt;")</f>
      </c>
      <c r="AE23" s="1">
        <f>=HYPERLINK("10.175.1.14\MWEB.12\TIER\FlameGraph.Tier.10.175.1.14.MWEB.12.skmweb2x0cp-.48.svg", "&lt;FlGraph&gt;")</f>
      </c>
      <c r="AF23" s="1">
        <f>=HYPERLINK("10.175.1.14\MWEB.12\TIER\FlameChart.Tier.10.175.1.14.MWEB.12.skmweb2x0cp-.48.svg", "&lt;FlChart&gt;")</f>
      </c>
      <c r="AG23" s="0" t="s">
        <v>107</v>
      </c>
      <c r="AH23" s="0" t="s">
        <v>108</v>
      </c>
      <c r="AI23" s="0" t="s">
        <v>162</v>
      </c>
      <c r="AJ23" s="0" t="s">
        <v>109</v>
      </c>
    </row>
    <row r="24">
      <c r="A24" s="0" t="s">
        <v>28</v>
      </c>
      <c r="B24" s="0" t="s">
        <v>30</v>
      </c>
      <c r="C24" s="0" t="s">
        <v>163</v>
      </c>
      <c r="D24" s="0" t="s">
        <v>121</v>
      </c>
      <c r="E24" s="0" t="s">
        <v>122</v>
      </c>
      <c r="F24" s="0">
        <v>0</v>
      </c>
      <c r="G24" s="0" t="s">
        <v>106</v>
      </c>
      <c r="H24" s="0">
        <v>0</v>
      </c>
      <c r="I24" s="0">
        <v>0</v>
      </c>
      <c r="J24" s="0">
        <v>0</v>
      </c>
      <c r="K24" s="0">
        <v>0</v>
      </c>
      <c r="L24" s="0">
        <v>0</v>
      </c>
      <c r="M24" s="0">
        <v>0</v>
      </c>
      <c r="N24" s="0">
        <v>0</v>
      </c>
      <c r="O24" s="0">
        <v>0</v>
      </c>
      <c r="P24" s="0">
        <v>0</v>
      </c>
      <c r="Q24" s="0">
        <v>0</v>
      </c>
      <c r="R24" s="0">
        <v>1</v>
      </c>
      <c r="S24" s="0">
        <v>0</v>
      </c>
      <c r="T24" s="0">
        <v>0</v>
      </c>
      <c r="U24" s="0" t="b">
        <v>0</v>
      </c>
      <c r="V24" s="2">
        <v>44613.583333333336</v>
      </c>
      <c r="W24" s="2">
        <v>44613.625</v>
      </c>
      <c r="X24" s="2">
        <v>44613.208333333336</v>
      </c>
      <c r="Y24" s="2">
        <v>44613.25</v>
      </c>
      <c r="Z24" s="0">
        <v>60</v>
      </c>
      <c r="AA24" s="0">
        <v>12</v>
      </c>
      <c r="AB24" s="0">
        <v>55</v>
      </c>
      <c r="AC24" s="1">
        <f>=HYPERLINK("10.175.1.14\MWEB.12\TIER\EntityDetails.10.175.1.14.MWEB.12.skmweb2x0fp-.55.xlsx", "&lt;Detail&gt;")</f>
      </c>
      <c r="AD24" s="1">
        <f>=HYPERLINK("10.175.1.14\MWEB.12\TIER\MetricGraphs.TIER.10.175.1.14.MWEB.12.xlsx", "&lt;Metrics&gt;")</f>
      </c>
      <c r="AE24" s="1">
        <f>=HYPERLINK("10.175.1.14\MWEB.12\TIER\FlameGraph.Tier.10.175.1.14.MWEB.12.skmweb2x0fp-.55.svg", "&lt;FlGraph&gt;")</f>
      </c>
      <c r="AF24" s="1">
        <f>=HYPERLINK("10.175.1.14\MWEB.12\TIER\FlameChart.Tier.10.175.1.14.MWEB.12.skmweb2x0fp-.55.svg", "&lt;FlChart&gt;")</f>
      </c>
      <c r="AG24" s="0" t="s">
        <v>107</v>
      </c>
      <c r="AH24" s="0" t="s">
        <v>108</v>
      </c>
      <c r="AI24" s="0" t="s">
        <v>164</v>
      </c>
      <c r="AJ24" s="0" t="s">
        <v>109</v>
      </c>
    </row>
    <row r="25">
      <c r="A25" s="0" t="s">
        <v>28</v>
      </c>
      <c r="B25" s="0" t="s">
        <v>30</v>
      </c>
      <c r="C25" s="0" t="s">
        <v>165</v>
      </c>
      <c r="D25" s="0" t="s">
        <v>121</v>
      </c>
      <c r="E25" s="0" t="s">
        <v>122</v>
      </c>
      <c r="F25" s="0">
        <v>0</v>
      </c>
      <c r="G25" s="0" t="s">
        <v>106</v>
      </c>
      <c r="H25" s="0">
        <v>0</v>
      </c>
      <c r="I25" s="0">
        <v>0</v>
      </c>
      <c r="J25" s="0">
        <v>0</v>
      </c>
      <c r="K25" s="0">
        <v>0</v>
      </c>
      <c r="L25" s="0">
        <v>0</v>
      </c>
      <c r="M25" s="0">
        <v>0</v>
      </c>
      <c r="N25" s="0">
        <v>0</v>
      </c>
      <c r="O25" s="0">
        <v>0</v>
      </c>
      <c r="P25" s="0">
        <v>0</v>
      </c>
      <c r="Q25" s="0">
        <v>0</v>
      </c>
      <c r="R25" s="0">
        <v>3</v>
      </c>
      <c r="S25" s="0">
        <v>0</v>
      </c>
      <c r="T25" s="0">
        <v>0</v>
      </c>
      <c r="U25" s="0" t="b">
        <v>0</v>
      </c>
      <c r="V25" s="2">
        <v>44613.583333333336</v>
      </c>
      <c r="W25" s="2">
        <v>44613.625</v>
      </c>
      <c r="X25" s="2">
        <v>44613.208333333336</v>
      </c>
      <c r="Y25" s="2">
        <v>44613.25</v>
      </c>
      <c r="Z25" s="0">
        <v>60</v>
      </c>
      <c r="AA25" s="0">
        <v>12</v>
      </c>
      <c r="AB25" s="0">
        <v>47</v>
      </c>
      <c r="AC25" s="1">
        <f>=HYPERLINK("10.175.1.14\MWEB.12\TIER\EntityDetails.10.175.1.14.MWEB.12.skmweb2x0od-.47.xlsx", "&lt;Detail&gt;")</f>
      </c>
      <c r="AD25" s="1">
        <f>=HYPERLINK("10.175.1.14\MWEB.12\TIER\MetricGraphs.TIER.10.175.1.14.MWEB.12.xlsx", "&lt;Metrics&gt;")</f>
      </c>
      <c r="AE25" s="1">
        <f>=HYPERLINK("10.175.1.14\MWEB.12\TIER\FlameGraph.Tier.10.175.1.14.MWEB.12.skmweb2x0od-.47.svg", "&lt;FlGraph&gt;")</f>
      </c>
      <c r="AF25" s="1">
        <f>=HYPERLINK("10.175.1.14\MWEB.12\TIER\FlameChart.Tier.10.175.1.14.MWEB.12.skmweb2x0od-.47.svg", "&lt;FlChart&gt;")</f>
      </c>
      <c r="AG25" s="0" t="s">
        <v>107</v>
      </c>
      <c r="AH25" s="0" t="s">
        <v>108</v>
      </c>
      <c r="AI25" s="0" t="s">
        <v>166</v>
      </c>
      <c r="AJ25" s="0" t="s">
        <v>109</v>
      </c>
    </row>
  </sheetData>
  <conditionalFormatting sqref="Q5:Q25">
    <cfRule priority="1" type="dataBar">
      <dataBar>
        <d:cfvo xmlns:d="http://schemas.openxmlformats.org/spreadsheetml/2006/main" type="num" val="0"/>
        <d:cfvo xmlns:d="http://schemas.openxmlformats.org/spreadsheetml/2006/main" type="num" val="100"/>
        <color rgb="FFFF6969"/>
      </dataBar>
    </cfRule>
  </conditionalFormatting>
  <conditionalFormatting sqref="F5:F25">
    <cfRule priority="2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J5:J25">
    <cfRule priority="3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conditionalFormatting sqref="L5:L25">
    <cfRule priority="4" type="colorScale">
      <colorScale>
        <cfvo type="min"/>
        <cfvo type="percentile" val="70"/>
        <cfvo type="max"/>
        <color rgb="ff90ee90"/>
        <color rgb="ffffffe0"/>
        <color rgb="ffff6969"/>
      </colorScale>
    </cfRule>
  </conditionalFormatting>
  <headerFooter/>
  <tableParts>
    <tablePart r:id="rId1"/>
  </tableParts>
</worksheet>
</file>

<file path=xl/worksheets/sheet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9" topLeftCell="A10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3" max="3" width="20" customWidth="1"/>
    <col min="4" max="4" width="20" customWidth="1"/>
  </cols>
  <sheetData>
    <row r="1">
      <c r="A1" s="0" t="s">
        <v>0</v>
      </c>
      <c r="B1" s="1">
        <f>=HYPERLINK("#'2.Contents'!A1", "&lt;Go&gt;")</f>
      </c>
    </row>
    <row r="2">
      <c r="A2" s="0" t="s">
        <v>110</v>
      </c>
      <c r="B2" s="1">
        <f>=HYPERLINK("#'5.Tiers'!A1", "&lt;Go&gt;")</f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Metrics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